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kb\Documents\MIT\PhD Thesis\CONTRIBUTIONS\Contribution3\"/>
    </mc:Choice>
  </mc:AlternateContent>
  <xr:revisionPtr revIDLastSave="0" documentId="13_ncr:1_{BD03C603-1122-467E-A5B6-3F49DEEAE09C}" xr6:coauthVersionLast="47" xr6:coauthVersionMax="47" xr10:uidLastSave="{00000000-0000-0000-0000-000000000000}"/>
  <bookViews>
    <workbookView xWindow="-96" yWindow="-96" windowWidth="23232" windowHeight="13872" tabRatio="759" xr2:uid="{0A3B4348-895A-485C-9BEB-56923D1AE786}"/>
  </bookViews>
  <sheets>
    <sheet name="Top Level Case Parameters" sheetId="1" r:id="rId1"/>
    <sheet name="RESULTS - Metrics Requirements" sheetId="3" r:id="rId2"/>
    <sheet name="RESULTS - Metrics Time" sheetId="6" r:id="rId3"/>
    <sheet name="RESULTS - Benchmark Time" sheetId="7" r:id="rId4"/>
    <sheet name="RESULTS - Benchmark Requirement" sheetId="2" r:id="rId5"/>
    <sheet name="Processor Benchmarks" sheetId="4" r:id="rId6"/>
    <sheet name="Real Processor Metrics" sheetId="5" r:id="rId7"/>
    <sheet name="HITL Evaluation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77" i="7" l="1"/>
  <c r="Y77" i="7"/>
  <c r="AA77" i="7"/>
  <c r="AB77" i="7"/>
  <c r="X78" i="7"/>
  <c r="Y78" i="7"/>
  <c r="Z78" i="7"/>
  <c r="AB78" i="7"/>
  <c r="X79" i="7"/>
  <c r="Z79" i="7"/>
  <c r="AA79" i="7"/>
  <c r="AB79" i="7"/>
  <c r="X80" i="7"/>
  <c r="Y80" i="7"/>
  <c r="AA80" i="7"/>
  <c r="AB80" i="7"/>
  <c r="X81" i="7"/>
  <c r="Y81" i="7"/>
  <c r="AA81" i="7"/>
  <c r="AB81" i="7"/>
  <c r="Y82" i="7"/>
  <c r="Z82" i="7"/>
  <c r="AA82" i="7"/>
  <c r="X83" i="7"/>
  <c r="Y83" i="7"/>
  <c r="AA83" i="7"/>
  <c r="AB83" i="7"/>
  <c r="X84" i="7"/>
  <c r="Z84" i="7"/>
  <c r="AA84" i="7"/>
  <c r="AB84" i="7"/>
  <c r="X85" i="7"/>
  <c r="Y85" i="7"/>
  <c r="Z85" i="7"/>
  <c r="AA85" i="7"/>
  <c r="Y86" i="7"/>
  <c r="Z86" i="7"/>
  <c r="AA86" i="7"/>
  <c r="AB86" i="7"/>
  <c r="Y76" i="7"/>
  <c r="Z76" i="7"/>
  <c r="AA76" i="7"/>
  <c r="X62" i="7"/>
  <c r="Y62" i="7"/>
  <c r="AA62" i="7"/>
  <c r="AB62" i="7"/>
  <c r="X63" i="7"/>
  <c r="Y63" i="7"/>
  <c r="Z63" i="7"/>
  <c r="AB63" i="7"/>
  <c r="X64" i="7"/>
  <c r="Z64" i="7"/>
  <c r="AA64" i="7"/>
  <c r="AB64" i="7"/>
  <c r="X65" i="7"/>
  <c r="Y65" i="7"/>
  <c r="AA65" i="7"/>
  <c r="AB65" i="7"/>
  <c r="X66" i="7"/>
  <c r="Y66" i="7"/>
  <c r="AA66" i="7"/>
  <c r="AB66" i="7"/>
  <c r="Y67" i="7"/>
  <c r="Z67" i="7"/>
  <c r="AA67" i="7"/>
  <c r="X68" i="7"/>
  <c r="Y68" i="7"/>
  <c r="AA68" i="7"/>
  <c r="AB68" i="7"/>
  <c r="X69" i="7"/>
  <c r="Z69" i="7"/>
  <c r="AA69" i="7"/>
  <c r="AB69" i="7"/>
  <c r="X70" i="7"/>
  <c r="Y70" i="7"/>
  <c r="Z70" i="7"/>
  <c r="AA70" i="7"/>
  <c r="Y71" i="7"/>
  <c r="Z71" i="7"/>
  <c r="AA71" i="7"/>
  <c r="AB71" i="7"/>
  <c r="Y61" i="7"/>
  <c r="Z61" i="7"/>
  <c r="AA61" i="7"/>
  <c r="X47" i="7"/>
  <c r="Y47" i="7"/>
  <c r="AA47" i="7"/>
  <c r="AB47" i="7"/>
  <c r="X48" i="7"/>
  <c r="Y48" i="7"/>
  <c r="Z48" i="7"/>
  <c r="AB48" i="7"/>
  <c r="X49" i="7"/>
  <c r="Z49" i="7"/>
  <c r="AA49" i="7"/>
  <c r="AB49" i="7"/>
  <c r="X50" i="7"/>
  <c r="Y50" i="7"/>
  <c r="AA50" i="7"/>
  <c r="AB50" i="7"/>
  <c r="X51" i="7"/>
  <c r="Y51" i="7"/>
  <c r="AA51" i="7"/>
  <c r="AB51" i="7"/>
  <c r="Y52" i="7"/>
  <c r="Z52" i="7"/>
  <c r="AA52" i="7"/>
  <c r="X53" i="7"/>
  <c r="Y53" i="7"/>
  <c r="AA53" i="7"/>
  <c r="AB53" i="7"/>
  <c r="X54" i="7"/>
  <c r="Z54" i="7"/>
  <c r="AA54" i="7"/>
  <c r="AB54" i="7"/>
  <c r="X55" i="7"/>
  <c r="Y55" i="7"/>
  <c r="Z55" i="7"/>
  <c r="AA55" i="7"/>
  <c r="Y56" i="7"/>
  <c r="Z56" i="7"/>
  <c r="AA56" i="7"/>
  <c r="AB56" i="7"/>
  <c r="Y46" i="7"/>
  <c r="Z46" i="7"/>
  <c r="AA46" i="7"/>
  <c r="Y41" i="7"/>
  <c r="Z41" i="7"/>
  <c r="AA41" i="7"/>
  <c r="AB41" i="7"/>
  <c r="Y42" i="7"/>
  <c r="Z42" i="7"/>
  <c r="AA42" i="7"/>
  <c r="AB42" i="7"/>
  <c r="X42" i="7"/>
  <c r="X41" i="7"/>
  <c r="AN39" i="4"/>
  <c r="AJ39" i="4"/>
  <c r="AK39" i="4"/>
  <c r="AL39" i="4"/>
  <c r="AM39" i="4"/>
  <c r="AI39" i="4"/>
  <c r="AI38" i="4"/>
  <c r="AJ38" i="4"/>
  <c r="AK38" i="4"/>
  <c r="AL38" i="4"/>
  <c r="AN38" i="4" s="1"/>
  <c r="AM38" i="4"/>
  <c r="AI31" i="4"/>
  <c r="AJ31" i="4"/>
  <c r="AK31" i="4"/>
  <c r="AL31" i="4"/>
  <c r="AM31" i="4"/>
  <c r="AH31" i="4"/>
  <c r="AG31" i="4"/>
  <c r="AJ18" i="4"/>
  <c r="AK18" i="4"/>
  <c r="AL18" i="4"/>
  <c r="AL22" i="4" s="1"/>
  <c r="AM18" i="4"/>
  <c r="AI18" i="4"/>
  <c r="AI22" i="4"/>
  <c r="AJ22" i="4"/>
  <c r="AK22" i="4"/>
  <c r="AM22" i="4"/>
  <c r="AM12" i="4"/>
  <c r="AM11" i="4"/>
  <c r="AL12" i="4"/>
  <c r="AL11" i="4"/>
  <c r="AK12" i="4"/>
  <c r="AK11" i="4"/>
  <c r="AJ12" i="4"/>
  <c r="AJ11" i="4"/>
  <c r="AI12" i="4"/>
  <c r="AI11" i="4"/>
  <c r="AA70" i="4"/>
  <c r="AB70" i="4" s="1"/>
  <c r="Z70" i="4"/>
  <c r="AC70" i="4" s="1"/>
  <c r="N70" i="4"/>
  <c r="M70" i="4"/>
  <c r="L70" i="4"/>
  <c r="K70" i="4"/>
  <c r="J70" i="4"/>
  <c r="AA56" i="4"/>
  <c r="AB56" i="4" s="1"/>
  <c r="Z56" i="4"/>
  <c r="AC56" i="4" s="1"/>
  <c r="P56" i="4"/>
  <c r="O56" i="4"/>
  <c r="N56" i="4"/>
  <c r="M56" i="4"/>
  <c r="L56" i="4"/>
  <c r="K56" i="4"/>
  <c r="J56" i="4"/>
  <c r="M29" i="4"/>
  <c r="L29" i="4"/>
  <c r="K29" i="4"/>
  <c r="J29" i="4"/>
  <c r="P14" i="4"/>
  <c r="O14" i="4"/>
  <c r="N14" i="4"/>
  <c r="M14" i="4"/>
  <c r="L14" i="4"/>
  <c r="K14" i="4"/>
  <c r="J14" i="4"/>
  <c r="P18" i="10"/>
  <c r="S8" i="10"/>
  <c r="S7" i="10"/>
  <c r="S6" i="10"/>
  <c r="S5" i="10"/>
  <c r="S4" i="10"/>
  <c r="T7" i="10"/>
  <c r="P7" i="10"/>
  <c r="T6" i="10"/>
  <c r="D35" i="7"/>
  <c r="O6" i="7" s="1"/>
  <c r="T6" i="7" s="1"/>
  <c r="P16" i="10"/>
  <c r="P17" i="10"/>
  <c r="P19" i="10"/>
  <c r="P15" i="10"/>
  <c r="T8" i="10"/>
  <c r="P8" i="10"/>
  <c r="P6" i="10"/>
  <c r="T5" i="10"/>
  <c r="P5" i="10"/>
  <c r="T4" i="10"/>
  <c r="P4" i="10"/>
  <c r="B51" i="10"/>
  <c r="B50" i="10"/>
  <c r="I8" i="10"/>
  <c r="I7" i="10"/>
  <c r="I6" i="10"/>
  <c r="I4" i="10"/>
  <c r="I5" i="10"/>
  <c r="H8" i="10"/>
  <c r="H7" i="10"/>
  <c r="G8" i="10"/>
  <c r="E8" i="10"/>
  <c r="H6" i="10"/>
  <c r="H5" i="10"/>
  <c r="H4" i="10"/>
  <c r="E18" i="10"/>
  <c r="E17" i="10"/>
  <c r="E19" i="10"/>
  <c r="E16" i="10"/>
  <c r="E15" i="10"/>
  <c r="T6" i="2"/>
  <c r="E8" i="2" s="1"/>
  <c r="B47" i="10"/>
  <c r="B48" i="10"/>
  <c r="B49" i="10"/>
  <c r="B46" i="10"/>
  <c r="A46" i="10"/>
  <c r="A47" i="10"/>
  <c r="A48" i="10"/>
  <c r="A49" i="10"/>
  <c r="A50" i="10"/>
  <c r="A51" i="10"/>
  <c r="E5" i="10"/>
  <c r="E7" i="10"/>
  <c r="E6" i="10"/>
  <c r="E4" i="10"/>
  <c r="AM25" i="4"/>
  <c r="AM26" i="4" s="1"/>
  <c r="AM24" i="4"/>
  <c r="AL25" i="4"/>
  <c r="AL26" i="4" s="1"/>
  <c r="AL24" i="4"/>
  <c r="AK24" i="4"/>
  <c r="B55" i="2"/>
  <c r="Q55" i="2" s="1"/>
  <c r="B56" i="2"/>
  <c r="M56" i="2" s="1"/>
  <c r="B57" i="2"/>
  <c r="O57" i="2" s="1"/>
  <c r="B58" i="2"/>
  <c r="Q58" i="2" s="1"/>
  <c r="B59" i="2"/>
  <c r="Q59" i="2" s="1"/>
  <c r="B60" i="2"/>
  <c r="N60" i="2" s="1"/>
  <c r="B61" i="2"/>
  <c r="M61" i="2" s="1"/>
  <c r="B62" i="2"/>
  <c r="Q62" i="2" s="1"/>
  <c r="B63" i="2"/>
  <c r="O63" i="2" s="1"/>
  <c r="B64" i="2"/>
  <c r="Q64" i="2" s="1"/>
  <c r="B54" i="2"/>
  <c r="P54" i="2" s="1"/>
  <c r="T61" i="2"/>
  <c r="G63" i="2" s="1"/>
  <c r="T54" i="2"/>
  <c r="F56" i="2" s="1"/>
  <c r="T55" i="2"/>
  <c r="L63" i="2" s="1"/>
  <c r="T56" i="2"/>
  <c r="E58" i="2" s="1"/>
  <c r="T57" i="2"/>
  <c r="G60" i="2" s="1"/>
  <c r="T58" i="2"/>
  <c r="L60" i="2" s="1"/>
  <c r="T59" i="2"/>
  <c r="T60" i="2"/>
  <c r="T53" i="2"/>
  <c r="T37" i="2"/>
  <c r="T38" i="2"/>
  <c r="T39" i="2"/>
  <c r="E41" i="2" s="1"/>
  <c r="T40" i="2"/>
  <c r="G43" i="2" s="1"/>
  <c r="T41" i="2"/>
  <c r="L43" i="2" s="1"/>
  <c r="T42" i="2"/>
  <c r="T43" i="2"/>
  <c r="T44" i="2"/>
  <c r="G46" i="2" s="1"/>
  <c r="T36" i="2"/>
  <c r="B38" i="2"/>
  <c r="Q38" i="2" s="1"/>
  <c r="B39" i="2"/>
  <c r="O39" i="2" s="1"/>
  <c r="B40" i="2"/>
  <c r="P40" i="2" s="1"/>
  <c r="B41" i="2"/>
  <c r="Q41" i="2" s="1"/>
  <c r="B42" i="2"/>
  <c r="Q42" i="2" s="1"/>
  <c r="B43" i="2"/>
  <c r="P43" i="2" s="1"/>
  <c r="B44" i="2"/>
  <c r="P44" i="2" s="1"/>
  <c r="B45" i="2"/>
  <c r="M45" i="2" s="1"/>
  <c r="B46" i="2"/>
  <c r="M46" i="2" s="1"/>
  <c r="B47" i="2"/>
  <c r="Q47" i="2" s="1"/>
  <c r="B37" i="2"/>
  <c r="P37" i="2" s="1"/>
  <c r="P61" i="2"/>
  <c r="N61" i="2"/>
  <c r="P57" i="2"/>
  <c r="Q57" i="2"/>
  <c r="Q56" i="2"/>
  <c r="O46" i="2"/>
  <c r="H43" i="2"/>
  <c r="T20" i="2"/>
  <c r="T21" i="2"/>
  <c r="L29" i="2" s="1"/>
  <c r="T22" i="2"/>
  <c r="E24" i="2" s="1"/>
  <c r="T23" i="2"/>
  <c r="G26" i="2" s="1"/>
  <c r="T24" i="2"/>
  <c r="L26" i="2" s="1"/>
  <c r="T25" i="2"/>
  <c r="T26" i="2"/>
  <c r="T27" i="2"/>
  <c r="T19" i="2"/>
  <c r="B21" i="2"/>
  <c r="Q21" i="2" s="1"/>
  <c r="B22" i="2"/>
  <c r="M22" i="2" s="1"/>
  <c r="B23" i="2"/>
  <c r="Q23" i="2" s="1"/>
  <c r="B24" i="2"/>
  <c r="Q24" i="2" s="1"/>
  <c r="B25" i="2"/>
  <c r="N25" i="2" s="1"/>
  <c r="B26" i="2"/>
  <c r="O26" i="2" s="1"/>
  <c r="B27" i="2"/>
  <c r="M27" i="2" s="1"/>
  <c r="B28" i="2"/>
  <c r="Q28" i="2" s="1"/>
  <c r="B29" i="2"/>
  <c r="P29" i="2" s="1"/>
  <c r="B30" i="2"/>
  <c r="B20" i="2"/>
  <c r="Q30" i="2"/>
  <c r="G29" i="2"/>
  <c r="P26" i="2"/>
  <c r="Q25" i="2"/>
  <c r="P20" i="2"/>
  <c r="B5" i="2"/>
  <c r="M5" i="2" s="1"/>
  <c r="B6" i="2"/>
  <c r="M6" i="2" s="1"/>
  <c r="B7" i="2"/>
  <c r="Q7" i="2" s="1"/>
  <c r="B8" i="2"/>
  <c r="M8" i="2" s="1"/>
  <c r="B9" i="2"/>
  <c r="M9" i="2" s="1"/>
  <c r="B10" i="2"/>
  <c r="N10" i="2" s="1"/>
  <c r="B11" i="2"/>
  <c r="B12" i="2"/>
  <c r="O12" i="2" s="1"/>
  <c r="B13" i="2"/>
  <c r="O13" i="2" s="1"/>
  <c r="B14" i="2"/>
  <c r="B4" i="2"/>
  <c r="N4" i="2" s="1"/>
  <c r="P5" i="2"/>
  <c r="O7" i="2"/>
  <c r="N8" i="2"/>
  <c r="M11" i="2"/>
  <c r="N11" i="2"/>
  <c r="P11" i="2"/>
  <c r="Q11" i="2"/>
  <c r="M12" i="2"/>
  <c r="P4" i="2"/>
  <c r="T11" i="2"/>
  <c r="G13" i="2" s="1"/>
  <c r="T10" i="2"/>
  <c r="T9" i="2"/>
  <c r="T8" i="2"/>
  <c r="L10" i="2" s="1"/>
  <c r="T7" i="2"/>
  <c r="G4" i="2" s="1"/>
  <c r="T5" i="2"/>
  <c r="T4" i="2"/>
  <c r="F6" i="2" s="1"/>
  <c r="T3" i="2"/>
  <c r="G120" i="7"/>
  <c r="G121" i="7"/>
  <c r="G122" i="7"/>
  <c r="G123" i="7"/>
  <c r="G124" i="7"/>
  <c r="G125" i="7"/>
  <c r="G126" i="7"/>
  <c r="G127" i="7"/>
  <c r="G128" i="7"/>
  <c r="G129" i="7"/>
  <c r="G130" i="7"/>
  <c r="G131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AE73" i="7"/>
  <c r="AF73" i="7"/>
  <c r="AG73" i="7"/>
  <c r="AH73" i="7"/>
  <c r="AI73" i="7"/>
  <c r="AJ73" i="7"/>
  <c r="AK73" i="7"/>
  <c r="AL73" i="7"/>
  <c r="AM73" i="7"/>
  <c r="AN73" i="7"/>
  <c r="AE74" i="7"/>
  <c r="AF74" i="7"/>
  <c r="AG74" i="7"/>
  <c r="AH74" i="7"/>
  <c r="AI74" i="7"/>
  <c r="AJ74" i="7"/>
  <c r="AK74" i="7"/>
  <c r="AL74" i="7"/>
  <c r="AM74" i="7"/>
  <c r="AN74" i="7"/>
  <c r="AE75" i="7"/>
  <c r="AF75" i="7"/>
  <c r="AG75" i="7"/>
  <c r="AH75" i="7"/>
  <c r="AI75" i="7"/>
  <c r="AJ75" i="7"/>
  <c r="AK75" i="7"/>
  <c r="AL75" i="7"/>
  <c r="AM75" i="7"/>
  <c r="AN75" i="7"/>
  <c r="AF76" i="7"/>
  <c r="AG76" i="7"/>
  <c r="AH76" i="7"/>
  <c r="AK76" i="7"/>
  <c r="AL76" i="7"/>
  <c r="AM76" i="7"/>
  <c r="AE77" i="7"/>
  <c r="AF77" i="7"/>
  <c r="AH77" i="7"/>
  <c r="AI77" i="7"/>
  <c r="AJ77" i="7"/>
  <c r="AK77" i="7"/>
  <c r="AL77" i="7"/>
  <c r="AM77" i="7"/>
  <c r="AN77" i="7"/>
  <c r="AE78" i="7"/>
  <c r="AF78" i="7"/>
  <c r="AG78" i="7"/>
  <c r="AI78" i="7"/>
  <c r="AJ78" i="7"/>
  <c r="AK78" i="7"/>
  <c r="AL78" i="7"/>
  <c r="AM78" i="7"/>
  <c r="AN78" i="7"/>
  <c r="AE79" i="7"/>
  <c r="AG79" i="7"/>
  <c r="AH79" i="7"/>
  <c r="AI79" i="7"/>
  <c r="AJ79" i="7"/>
  <c r="AK79" i="7"/>
  <c r="AL79" i="7"/>
  <c r="AM79" i="7"/>
  <c r="AN79" i="7"/>
  <c r="AE80" i="7"/>
  <c r="AF80" i="7"/>
  <c r="AH80" i="7"/>
  <c r="AI80" i="7"/>
  <c r="AJ80" i="7"/>
  <c r="AK80" i="7"/>
  <c r="AM80" i="7"/>
  <c r="AN80" i="7"/>
  <c r="AE81" i="7"/>
  <c r="AF81" i="7"/>
  <c r="AH81" i="7"/>
  <c r="AI81" i="7"/>
  <c r="AJ81" i="7"/>
  <c r="AK81" i="7"/>
  <c r="AL81" i="7"/>
  <c r="AM81" i="7"/>
  <c r="AN81" i="7"/>
  <c r="AF82" i="7"/>
  <c r="AG82" i="7"/>
  <c r="AH82" i="7"/>
  <c r="AK82" i="7"/>
  <c r="AL82" i="7"/>
  <c r="AM82" i="7"/>
  <c r="AE83" i="7"/>
  <c r="AF83" i="7"/>
  <c r="AH83" i="7"/>
  <c r="AI83" i="7"/>
  <c r="AJ83" i="7"/>
  <c r="AK83" i="7"/>
  <c r="AL83" i="7"/>
  <c r="AM83" i="7"/>
  <c r="AN83" i="7"/>
  <c r="AE84" i="7"/>
  <c r="AG84" i="7"/>
  <c r="AH84" i="7"/>
  <c r="AI84" i="7"/>
  <c r="AJ84" i="7"/>
  <c r="AK84" i="7"/>
  <c r="AL84" i="7"/>
  <c r="AM84" i="7"/>
  <c r="AN84" i="7"/>
  <c r="AE85" i="7"/>
  <c r="AF85" i="7"/>
  <c r="AG85" i="7"/>
  <c r="AH85" i="7"/>
  <c r="AJ85" i="7"/>
  <c r="AK85" i="7"/>
  <c r="AL85" i="7"/>
  <c r="AM85" i="7"/>
  <c r="AF86" i="7"/>
  <c r="AG86" i="7"/>
  <c r="AH86" i="7"/>
  <c r="AI86" i="7"/>
  <c r="AK86" i="7"/>
  <c r="AL86" i="7"/>
  <c r="AM86" i="7"/>
  <c r="AN86" i="7"/>
  <c r="AE58" i="7"/>
  <c r="AF58" i="7"/>
  <c r="AG58" i="7"/>
  <c r="AH58" i="7"/>
  <c r="AI58" i="7"/>
  <c r="AJ58" i="7"/>
  <c r="AK58" i="7"/>
  <c r="AL58" i="7"/>
  <c r="AM58" i="7"/>
  <c r="AN58" i="7"/>
  <c r="AE59" i="7"/>
  <c r="AF59" i="7"/>
  <c r="AG59" i="7"/>
  <c r="AH59" i="7"/>
  <c r="AI59" i="7"/>
  <c r="AJ59" i="7"/>
  <c r="AK59" i="7"/>
  <c r="AL59" i="7"/>
  <c r="AM59" i="7"/>
  <c r="AN59" i="7"/>
  <c r="AE60" i="7"/>
  <c r="AF60" i="7"/>
  <c r="AG60" i="7"/>
  <c r="AH60" i="7"/>
  <c r="AI60" i="7"/>
  <c r="AJ60" i="7"/>
  <c r="AK60" i="7"/>
  <c r="AL60" i="7"/>
  <c r="AM60" i="7"/>
  <c r="AN60" i="7"/>
  <c r="AF61" i="7"/>
  <c r="AG61" i="7"/>
  <c r="AH61" i="7"/>
  <c r="AK61" i="7"/>
  <c r="AL61" i="7"/>
  <c r="AM61" i="7"/>
  <c r="AE62" i="7"/>
  <c r="AF62" i="7"/>
  <c r="AH62" i="7"/>
  <c r="AI62" i="7"/>
  <c r="AJ62" i="7"/>
  <c r="AK62" i="7"/>
  <c r="AL62" i="7"/>
  <c r="AM62" i="7"/>
  <c r="AN62" i="7"/>
  <c r="AE63" i="7"/>
  <c r="AF63" i="7"/>
  <c r="AG63" i="7"/>
  <c r="AI63" i="7"/>
  <c r="AJ63" i="7"/>
  <c r="AK63" i="7"/>
  <c r="AL63" i="7"/>
  <c r="AM63" i="7"/>
  <c r="AN63" i="7"/>
  <c r="AE64" i="7"/>
  <c r="AG64" i="7"/>
  <c r="AH64" i="7"/>
  <c r="AI64" i="7"/>
  <c r="AJ64" i="7"/>
  <c r="AK64" i="7"/>
  <c r="AL64" i="7"/>
  <c r="AM64" i="7"/>
  <c r="AN64" i="7"/>
  <c r="AE65" i="7"/>
  <c r="AF65" i="7"/>
  <c r="AH65" i="7"/>
  <c r="AI65" i="7"/>
  <c r="AJ65" i="7"/>
  <c r="AK65" i="7"/>
  <c r="AM65" i="7"/>
  <c r="AN65" i="7"/>
  <c r="AE66" i="7"/>
  <c r="AF66" i="7"/>
  <c r="AH66" i="7"/>
  <c r="AI66" i="7"/>
  <c r="AJ66" i="7"/>
  <c r="AK66" i="7"/>
  <c r="AL66" i="7"/>
  <c r="AM66" i="7"/>
  <c r="AN66" i="7"/>
  <c r="AF67" i="7"/>
  <c r="AG67" i="7"/>
  <c r="AH67" i="7"/>
  <c r="AK67" i="7"/>
  <c r="AL67" i="7"/>
  <c r="AM67" i="7"/>
  <c r="AE68" i="7"/>
  <c r="AF68" i="7"/>
  <c r="AH68" i="7"/>
  <c r="AI68" i="7"/>
  <c r="AJ68" i="7"/>
  <c r="AK68" i="7"/>
  <c r="AL68" i="7"/>
  <c r="AM68" i="7"/>
  <c r="AN68" i="7"/>
  <c r="AE69" i="7"/>
  <c r="AG69" i="7"/>
  <c r="AH69" i="7"/>
  <c r="AI69" i="7"/>
  <c r="AJ69" i="7"/>
  <c r="AK69" i="7"/>
  <c r="AL69" i="7"/>
  <c r="AM69" i="7"/>
  <c r="AN69" i="7"/>
  <c r="AE70" i="7"/>
  <c r="AF70" i="7"/>
  <c r="AG70" i="7"/>
  <c r="AH70" i="7"/>
  <c r="AJ70" i="7"/>
  <c r="AK70" i="7"/>
  <c r="AL70" i="7"/>
  <c r="AM70" i="7"/>
  <c r="AF71" i="7"/>
  <c r="AG71" i="7"/>
  <c r="AH71" i="7"/>
  <c r="AI71" i="7"/>
  <c r="AK71" i="7"/>
  <c r="AL71" i="7"/>
  <c r="AM71" i="7"/>
  <c r="AN71" i="7"/>
  <c r="AN56" i="7"/>
  <c r="AM56" i="7"/>
  <c r="AL56" i="7"/>
  <c r="AK56" i="7"/>
  <c r="AI56" i="7"/>
  <c r="AH56" i="7"/>
  <c r="AG56" i="7"/>
  <c r="AF56" i="7"/>
  <c r="AM55" i="7"/>
  <c r="AL55" i="7"/>
  <c r="AK55" i="7"/>
  <c r="AJ55" i="7"/>
  <c r="AH55" i="7"/>
  <c r="AG55" i="7"/>
  <c r="AF55" i="7"/>
  <c r="AE55" i="7"/>
  <c r="AN54" i="7"/>
  <c r="AM54" i="7"/>
  <c r="AL54" i="7"/>
  <c r="AK54" i="7"/>
  <c r="AJ54" i="7"/>
  <c r="AI54" i="7"/>
  <c r="AH54" i="7"/>
  <c r="AG54" i="7"/>
  <c r="AE54" i="7"/>
  <c r="AN53" i="7"/>
  <c r="AM53" i="7"/>
  <c r="AL53" i="7"/>
  <c r="AK53" i="7"/>
  <c r="AJ53" i="7"/>
  <c r="AI53" i="7"/>
  <c r="AH53" i="7"/>
  <c r="AF53" i="7"/>
  <c r="AE53" i="7"/>
  <c r="AM52" i="7"/>
  <c r="AL52" i="7"/>
  <c r="AK52" i="7"/>
  <c r="AH52" i="7"/>
  <c r="AG52" i="7"/>
  <c r="AF52" i="7"/>
  <c r="AN51" i="7"/>
  <c r="AM51" i="7"/>
  <c r="AL51" i="7"/>
  <c r="AK51" i="7"/>
  <c r="AJ51" i="7"/>
  <c r="AI51" i="7"/>
  <c r="AH51" i="7"/>
  <c r="AF51" i="7"/>
  <c r="AE51" i="7"/>
  <c r="AN50" i="7"/>
  <c r="AM50" i="7"/>
  <c r="AK50" i="7"/>
  <c r="AJ50" i="7"/>
  <c r="AI50" i="7"/>
  <c r="AH50" i="7"/>
  <c r="AF50" i="7"/>
  <c r="AE50" i="7"/>
  <c r="AN49" i="7"/>
  <c r="AM49" i="7"/>
  <c r="AL49" i="7"/>
  <c r="AK49" i="7"/>
  <c r="AJ49" i="7"/>
  <c r="AI49" i="7"/>
  <c r="AH49" i="7"/>
  <c r="AG49" i="7"/>
  <c r="AE49" i="7"/>
  <c r="AN48" i="7"/>
  <c r="AM48" i="7"/>
  <c r="AL48" i="7"/>
  <c r="AK48" i="7"/>
  <c r="AJ48" i="7"/>
  <c r="AI48" i="7"/>
  <c r="AG48" i="7"/>
  <c r="AF48" i="7"/>
  <c r="AE48" i="7"/>
  <c r="AN47" i="7"/>
  <c r="AM47" i="7"/>
  <c r="AL47" i="7"/>
  <c r="AK47" i="7"/>
  <c r="AJ47" i="7"/>
  <c r="AI47" i="7"/>
  <c r="AH47" i="7"/>
  <c r="AF47" i="7"/>
  <c r="AE47" i="7"/>
  <c r="AM46" i="7"/>
  <c r="AL46" i="7"/>
  <c r="AK46" i="7"/>
  <c r="AH46" i="7"/>
  <c r="AG46" i="7"/>
  <c r="AF46" i="7"/>
  <c r="AN45" i="7"/>
  <c r="AM45" i="7"/>
  <c r="AL45" i="7"/>
  <c r="AK45" i="7"/>
  <c r="AJ45" i="7"/>
  <c r="AI45" i="7"/>
  <c r="AH45" i="7"/>
  <c r="AG45" i="7"/>
  <c r="AF45" i="7"/>
  <c r="AE45" i="7"/>
  <c r="AN44" i="7"/>
  <c r="AM44" i="7"/>
  <c r="AL44" i="7"/>
  <c r="AK44" i="7"/>
  <c r="AJ44" i="7"/>
  <c r="AI44" i="7"/>
  <c r="AH44" i="7"/>
  <c r="AG44" i="7"/>
  <c r="AF44" i="7"/>
  <c r="AE44" i="7"/>
  <c r="AN43" i="7"/>
  <c r="AM43" i="7"/>
  <c r="AL43" i="7"/>
  <c r="AK43" i="7"/>
  <c r="AJ43" i="7"/>
  <c r="AI43" i="7"/>
  <c r="AH43" i="7"/>
  <c r="AG43" i="7"/>
  <c r="AF43" i="7"/>
  <c r="AE43" i="7"/>
  <c r="F40" i="7"/>
  <c r="G40" i="7"/>
  <c r="H40" i="7"/>
  <c r="I40" i="7"/>
  <c r="J40" i="7"/>
  <c r="F39" i="7"/>
  <c r="A41" i="7"/>
  <c r="A42" i="7"/>
  <c r="L39" i="7"/>
  <c r="D60" i="4"/>
  <c r="K60" i="4" s="1"/>
  <c r="E60" i="4"/>
  <c r="L60" i="4" s="1"/>
  <c r="F60" i="4"/>
  <c r="M60" i="4" s="1"/>
  <c r="G60" i="4"/>
  <c r="N60" i="4" s="1"/>
  <c r="H60" i="4"/>
  <c r="O60" i="4" s="1"/>
  <c r="I60" i="4"/>
  <c r="P60" i="4" s="1"/>
  <c r="C60" i="4"/>
  <c r="J60" i="4" s="1"/>
  <c r="D46" i="4"/>
  <c r="K46" i="4" s="1"/>
  <c r="E46" i="4"/>
  <c r="L46" i="4" s="1"/>
  <c r="F46" i="4"/>
  <c r="M46" i="4" s="1"/>
  <c r="G46" i="4"/>
  <c r="N46" i="4" s="1"/>
  <c r="H46" i="4"/>
  <c r="O46" i="4" s="1"/>
  <c r="I46" i="4"/>
  <c r="P46" i="4" s="1"/>
  <c r="C46" i="4"/>
  <c r="J46" i="4" s="1"/>
  <c r="D32" i="4"/>
  <c r="K32" i="4" s="1"/>
  <c r="E32" i="4"/>
  <c r="L32" i="4" s="1"/>
  <c r="F32" i="4"/>
  <c r="M32" i="4" s="1"/>
  <c r="G32" i="4"/>
  <c r="N32" i="4" s="1"/>
  <c r="H32" i="4"/>
  <c r="O32" i="4" s="1"/>
  <c r="I32" i="4"/>
  <c r="P32" i="4" s="1"/>
  <c r="C32" i="4"/>
  <c r="J32" i="4" s="1"/>
  <c r="D18" i="4"/>
  <c r="K18" i="4" s="1"/>
  <c r="E18" i="4"/>
  <c r="L18" i="4" s="1"/>
  <c r="F18" i="4"/>
  <c r="M18" i="4" s="1"/>
  <c r="G18" i="4"/>
  <c r="N18" i="4" s="1"/>
  <c r="H18" i="4"/>
  <c r="O18" i="4" s="1"/>
  <c r="I18" i="4"/>
  <c r="P18" i="4" s="1"/>
  <c r="C18" i="4"/>
  <c r="J18" i="4" s="1"/>
  <c r="C4" i="4"/>
  <c r="J4" i="4" s="1"/>
  <c r="D4" i="4"/>
  <c r="K4" i="4" s="1"/>
  <c r="E4" i="4"/>
  <c r="L4" i="4" s="1"/>
  <c r="F4" i="4"/>
  <c r="M4" i="4" s="1"/>
  <c r="G4" i="4"/>
  <c r="N4" i="4" s="1"/>
  <c r="H4" i="4"/>
  <c r="O4" i="4" s="1"/>
  <c r="I4" i="4"/>
  <c r="P4" i="4" s="1"/>
  <c r="AU24" i="7"/>
  <c r="AU25" i="7"/>
  <c r="AU26" i="7"/>
  <c r="AU27" i="7"/>
  <c r="AU4" i="7" s="1"/>
  <c r="AE76" i="7" s="1"/>
  <c r="AU28" i="7"/>
  <c r="BD10" i="7" s="1"/>
  <c r="AN82" i="7" s="1"/>
  <c r="AU29" i="7"/>
  <c r="AU30" i="7"/>
  <c r="AU31" i="7"/>
  <c r="AY13" i="7" s="1"/>
  <c r="AU23" i="7"/>
  <c r="AJ24" i="7"/>
  <c r="AM6" i="7" s="1"/>
  <c r="AH63" i="7" s="1"/>
  <c r="AA63" i="7" s="1"/>
  <c r="AC63" i="7" s="1"/>
  <c r="E63" i="7" s="1"/>
  <c r="E123" i="7" s="1"/>
  <c r="AJ25" i="7"/>
  <c r="AJ26" i="7"/>
  <c r="AL8" i="7" s="1"/>
  <c r="AG65" i="7" s="1"/>
  <c r="AJ27" i="7"/>
  <c r="AN10" i="7" s="1"/>
  <c r="AI67" i="7" s="1"/>
  <c r="AJ28" i="7"/>
  <c r="AO10" i="7" s="1"/>
  <c r="AJ67" i="7" s="1"/>
  <c r="AJ29" i="7"/>
  <c r="AJ30" i="7"/>
  <c r="AJ31" i="7"/>
  <c r="AN13" i="7" s="1"/>
  <c r="AJ23" i="7"/>
  <c r="Y24" i="7"/>
  <c r="Y25" i="7"/>
  <c r="AH13" i="7" s="1"/>
  <c r="AN55" i="7" s="1"/>
  <c r="Y26" i="7"/>
  <c r="AA8" i="7" s="1"/>
  <c r="AG50" i="7" s="1"/>
  <c r="Y27" i="7"/>
  <c r="AC4" i="7" s="1"/>
  <c r="AI46" i="7" s="1"/>
  <c r="Y28" i="7"/>
  <c r="AH10" i="7" s="1"/>
  <c r="AN52" i="7" s="1"/>
  <c r="Y29" i="7"/>
  <c r="Y30" i="7"/>
  <c r="Y31" i="7"/>
  <c r="AC13" i="7" s="1"/>
  <c r="Y23" i="7"/>
  <c r="F35" i="7"/>
  <c r="Q8" i="7" s="1"/>
  <c r="V8" i="7" s="1"/>
  <c r="E35" i="7"/>
  <c r="P13" i="7" s="1"/>
  <c r="U13" i="7" s="1"/>
  <c r="C35" i="7"/>
  <c r="N11" i="7" s="1"/>
  <c r="S11" i="7" s="1"/>
  <c r="B35" i="7"/>
  <c r="M9" i="7" s="1"/>
  <c r="R9" i="7" s="1"/>
  <c r="N3" i="7"/>
  <c r="O3" i="7"/>
  <c r="P3" i="7"/>
  <c r="Q3" i="7"/>
  <c r="R3" i="7"/>
  <c r="S3" i="7"/>
  <c r="T3" i="7"/>
  <c r="U3" i="7"/>
  <c r="V3" i="7"/>
  <c r="M3" i="7"/>
  <c r="B24" i="7"/>
  <c r="F6" i="7" s="1"/>
  <c r="B25" i="7"/>
  <c r="L13" i="7" s="1"/>
  <c r="B26" i="7"/>
  <c r="D8" i="7" s="1"/>
  <c r="B27" i="7"/>
  <c r="G4" i="7" s="1"/>
  <c r="B28" i="7"/>
  <c r="L10" i="7" s="1"/>
  <c r="B29" i="7"/>
  <c r="B30" i="7"/>
  <c r="B31" i="7"/>
  <c r="G13" i="7" s="1"/>
  <c r="B23" i="7"/>
  <c r="AB29" i="3"/>
  <c r="AB30" i="3"/>
  <c r="AB31" i="3"/>
  <c r="AB32" i="3"/>
  <c r="AB33" i="3"/>
  <c r="AE3" i="3" s="1"/>
  <c r="AG3" i="3" s="1"/>
  <c r="AG18" i="3" s="1"/>
  <c r="AB34" i="3"/>
  <c r="AB35" i="3"/>
  <c r="AB36" i="3"/>
  <c r="AB37" i="3"/>
  <c r="AB28" i="3"/>
  <c r="AB4" i="3"/>
  <c r="AB5" i="3"/>
  <c r="AB6" i="3"/>
  <c r="AB7" i="3"/>
  <c r="AB8" i="3"/>
  <c r="AB9" i="3"/>
  <c r="AB10" i="3"/>
  <c r="AB11" i="3"/>
  <c r="AB12" i="3"/>
  <c r="AB13" i="3"/>
  <c r="AB14" i="3"/>
  <c r="AB3" i="3"/>
  <c r="T29" i="3"/>
  <c r="T30" i="3"/>
  <c r="U5" i="3" s="1"/>
  <c r="T31" i="3"/>
  <c r="T32" i="3"/>
  <c r="T33" i="3"/>
  <c r="W3" i="3" s="1"/>
  <c r="Y3" i="3" s="1"/>
  <c r="Y18" i="3" s="1"/>
  <c r="T34" i="3"/>
  <c r="T35" i="3"/>
  <c r="T36" i="3"/>
  <c r="T37" i="3"/>
  <c r="T28" i="3"/>
  <c r="T4" i="3"/>
  <c r="T5" i="3"/>
  <c r="T6" i="3"/>
  <c r="T7" i="3"/>
  <c r="T8" i="3"/>
  <c r="T9" i="3"/>
  <c r="T10" i="3"/>
  <c r="T11" i="3"/>
  <c r="T12" i="3"/>
  <c r="T13" i="3"/>
  <c r="T14" i="3"/>
  <c r="T3" i="3"/>
  <c r="L4" i="3"/>
  <c r="L5" i="3"/>
  <c r="L6" i="3"/>
  <c r="L7" i="3"/>
  <c r="L8" i="3"/>
  <c r="L9" i="3"/>
  <c r="L10" i="3"/>
  <c r="L11" i="3"/>
  <c r="L12" i="3"/>
  <c r="L13" i="3"/>
  <c r="L14" i="3"/>
  <c r="L3" i="3"/>
  <c r="L30" i="3"/>
  <c r="M5" i="3" s="1"/>
  <c r="D30" i="3"/>
  <c r="L31" i="3"/>
  <c r="D31" i="3"/>
  <c r="L32" i="3"/>
  <c r="D32" i="3"/>
  <c r="L33" i="3"/>
  <c r="O3" i="3" s="1"/>
  <c r="Q3" i="3" s="1"/>
  <c r="Q18" i="3" s="1"/>
  <c r="D33" i="3"/>
  <c r="L34" i="3"/>
  <c r="D34" i="3"/>
  <c r="L35" i="3"/>
  <c r="D35" i="3"/>
  <c r="L36" i="3"/>
  <c r="N14" i="3" s="1"/>
  <c r="P14" i="3" s="1"/>
  <c r="D36" i="3"/>
  <c r="L37" i="3"/>
  <c r="D37" i="3"/>
  <c r="D29" i="3"/>
  <c r="L29" i="3"/>
  <c r="W112" i="6"/>
  <c r="V112" i="6"/>
  <c r="U112" i="6"/>
  <c r="T112" i="6"/>
  <c r="S112" i="6"/>
  <c r="R112" i="6"/>
  <c r="Q112" i="6"/>
  <c r="P112" i="6"/>
  <c r="O112" i="6"/>
  <c r="N112" i="6"/>
  <c r="M112" i="6"/>
  <c r="L112" i="6"/>
  <c r="K112" i="6"/>
  <c r="J112" i="6"/>
  <c r="I112" i="6"/>
  <c r="H112" i="6"/>
  <c r="G112" i="6"/>
  <c r="F112" i="6"/>
  <c r="E112" i="6"/>
  <c r="D112" i="6"/>
  <c r="C112" i="6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C66" i="6"/>
  <c r="AB34" i="6"/>
  <c r="AC5" i="6" s="1"/>
  <c r="AE5" i="6" s="1"/>
  <c r="AB35" i="6"/>
  <c r="AB36" i="6"/>
  <c r="AB37" i="6"/>
  <c r="AB38" i="6"/>
  <c r="AB39" i="6"/>
  <c r="AB40" i="6"/>
  <c r="AB41" i="6"/>
  <c r="AB33" i="6"/>
  <c r="D142" i="6"/>
  <c r="E142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U142" i="6"/>
  <c r="V142" i="6"/>
  <c r="W142" i="6"/>
  <c r="C142" i="6"/>
  <c r="W127" i="6"/>
  <c r="V127" i="6"/>
  <c r="U127" i="6"/>
  <c r="T127" i="6"/>
  <c r="S127" i="6"/>
  <c r="R127" i="6"/>
  <c r="Q127" i="6"/>
  <c r="P127" i="6"/>
  <c r="O127" i="6"/>
  <c r="N127" i="6"/>
  <c r="M127" i="6"/>
  <c r="L127" i="6"/>
  <c r="K127" i="6"/>
  <c r="J127" i="6"/>
  <c r="I127" i="6"/>
  <c r="H127" i="6"/>
  <c r="G127" i="6"/>
  <c r="F127" i="6"/>
  <c r="E127" i="6"/>
  <c r="D127" i="6"/>
  <c r="C127" i="6"/>
  <c r="W97" i="6"/>
  <c r="V97" i="6"/>
  <c r="U97" i="6"/>
  <c r="T97" i="6"/>
  <c r="S97" i="6"/>
  <c r="R97" i="6"/>
  <c r="Q97" i="6"/>
  <c r="P97" i="6"/>
  <c r="O97" i="6"/>
  <c r="N97" i="6"/>
  <c r="M97" i="6"/>
  <c r="L97" i="6"/>
  <c r="K97" i="6"/>
  <c r="J97" i="6"/>
  <c r="I97" i="6"/>
  <c r="H97" i="6"/>
  <c r="G97" i="6"/>
  <c r="F97" i="6"/>
  <c r="E97" i="6"/>
  <c r="D97" i="6"/>
  <c r="C97" i="6"/>
  <c r="W81" i="6"/>
  <c r="V81" i="6"/>
  <c r="U81" i="6"/>
  <c r="T81" i="6"/>
  <c r="S81" i="6"/>
  <c r="R81" i="6"/>
  <c r="Q81" i="6"/>
  <c r="P81" i="6"/>
  <c r="O81" i="6"/>
  <c r="N81" i="6"/>
  <c r="M81" i="6"/>
  <c r="L81" i="6"/>
  <c r="K81" i="6"/>
  <c r="J81" i="6"/>
  <c r="I81" i="6"/>
  <c r="H81" i="6"/>
  <c r="G81" i="6"/>
  <c r="F81" i="6"/>
  <c r="E81" i="6"/>
  <c r="D81" i="6"/>
  <c r="C8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C51" i="6"/>
  <c r="T34" i="6"/>
  <c r="U5" i="6" s="1"/>
  <c r="W5" i="6" s="1"/>
  <c r="T35" i="6"/>
  <c r="T36" i="6"/>
  <c r="T37" i="6"/>
  <c r="T38" i="6"/>
  <c r="T39" i="6"/>
  <c r="T40" i="6"/>
  <c r="T41" i="6"/>
  <c r="T33" i="6"/>
  <c r="L34" i="6"/>
  <c r="L35" i="6"/>
  <c r="L36" i="6"/>
  <c r="L37" i="6"/>
  <c r="N3" i="6" s="1"/>
  <c r="L38" i="6"/>
  <c r="L39" i="6"/>
  <c r="L40" i="6"/>
  <c r="L41" i="6"/>
  <c r="L33" i="6"/>
  <c r="V47" i="6"/>
  <c r="W47" i="6"/>
  <c r="V48" i="6"/>
  <c r="W48" i="6"/>
  <c r="V49" i="6"/>
  <c r="W49" i="6"/>
  <c r="T47" i="6"/>
  <c r="U47" i="6"/>
  <c r="T48" i="6"/>
  <c r="U48" i="6"/>
  <c r="T49" i="6"/>
  <c r="U49" i="6"/>
  <c r="R47" i="6"/>
  <c r="S47" i="6"/>
  <c r="R48" i="6"/>
  <c r="S48" i="6"/>
  <c r="R49" i="6"/>
  <c r="S49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B47" i="6"/>
  <c r="B48" i="6"/>
  <c r="B49" i="6"/>
  <c r="T32" i="6"/>
  <c r="L32" i="6"/>
  <c r="B43" i="6"/>
  <c r="B44" i="6"/>
  <c r="B42" i="6"/>
  <c r="K1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" i="5"/>
  <c r="B33" i="6"/>
  <c r="B34" i="6"/>
  <c r="B35" i="6"/>
  <c r="B36" i="6"/>
  <c r="B37" i="6"/>
  <c r="D3" i="6" s="1"/>
  <c r="B38" i="6"/>
  <c r="B39" i="6"/>
  <c r="B40" i="6"/>
  <c r="B41" i="6"/>
  <c r="B4" i="3"/>
  <c r="B5" i="3"/>
  <c r="B6" i="3"/>
  <c r="B7" i="3"/>
  <c r="B8" i="3"/>
  <c r="B9" i="3"/>
  <c r="B10" i="3"/>
  <c r="B11" i="3"/>
  <c r="B12" i="3"/>
  <c r="B13" i="3"/>
  <c r="B14" i="3"/>
  <c r="B3" i="3"/>
  <c r="B30" i="3"/>
  <c r="C5" i="3" s="1"/>
  <c r="B31" i="3"/>
  <c r="B32" i="3"/>
  <c r="B33" i="3"/>
  <c r="E3" i="3" s="1"/>
  <c r="G3" i="3" s="1"/>
  <c r="B34" i="3"/>
  <c r="B35" i="3"/>
  <c r="B36" i="3"/>
  <c r="B37" i="3"/>
  <c r="B29" i="3"/>
  <c r="I3" i="5"/>
  <c r="K3" i="5" s="1"/>
  <c r="I4" i="5"/>
  <c r="K4" i="5" s="1"/>
  <c r="I5" i="5"/>
  <c r="K5" i="5" s="1"/>
  <c r="I6" i="5"/>
  <c r="K6" i="5" s="1"/>
  <c r="I7" i="5"/>
  <c r="K7" i="5" s="1"/>
  <c r="I8" i="5"/>
  <c r="K8" i="5" s="1"/>
  <c r="I9" i="5"/>
  <c r="K9" i="5" s="1"/>
  <c r="I10" i="5"/>
  <c r="K10" i="5" s="1"/>
  <c r="I11" i="5"/>
  <c r="K11" i="5" s="1"/>
  <c r="I12" i="5"/>
  <c r="I13" i="5"/>
  <c r="K13" i="5" s="1"/>
  <c r="I14" i="5"/>
  <c r="K14" i="5" s="1"/>
  <c r="I15" i="5"/>
  <c r="K15" i="5" s="1"/>
  <c r="I16" i="5"/>
  <c r="K16" i="5" s="1"/>
  <c r="I17" i="5"/>
  <c r="K17" i="5" s="1"/>
  <c r="I18" i="5"/>
  <c r="K18" i="5" s="1"/>
  <c r="I19" i="5"/>
  <c r="K19" i="5" s="1"/>
  <c r="I20" i="5"/>
  <c r="K20" i="5" s="1"/>
  <c r="I21" i="5"/>
  <c r="K21" i="5" s="1"/>
  <c r="I22" i="5"/>
  <c r="K22" i="5" s="1"/>
  <c r="I2" i="5"/>
  <c r="K2" i="5" s="1"/>
  <c r="P68" i="4"/>
  <c r="O68" i="4"/>
  <c r="N68" i="4"/>
  <c r="M68" i="4"/>
  <c r="L68" i="4"/>
  <c r="K68" i="4"/>
  <c r="J68" i="4"/>
  <c r="P65" i="4"/>
  <c r="O65" i="4"/>
  <c r="N65" i="4"/>
  <c r="M65" i="4"/>
  <c r="L65" i="4"/>
  <c r="K65" i="4"/>
  <c r="J65" i="4"/>
  <c r="P62" i="4"/>
  <c r="O62" i="4"/>
  <c r="N62" i="4"/>
  <c r="M62" i="4"/>
  <c r="L62" i="4"/>
  <c r="K62" i="4"/>
  <c r="J62" i="4"/>
  <c r="P54" i="4"/>
  <c r="O54" i="4"/>
  <c r="N54" i="4"/>
  <c r="M54" i="4"/>
  <c r="L54" i="4"/>
  <c r="K54" i="4"/>
  <c r="J54" i="4"/>
  <c r="P51" i="4"/>
  <c r="O51" i="4"/>
  <c r="N51" i="4"/>
  <c r="M51" i="4"/>
  <c r="L51" i="4"/>
  <c r="K51" i="4"/>
  <c r="J51" i="4"/>
  <c r="P48" i="4"/>
  <c r="O48" i="4"/>
  <c r="N48" i="4"/>
  <c r="M48" i="4"/>
  <c r="L48" i="4"/>
  <c r="K48" i="4"/>
  <c r="J48" i="4"/>
  <c r="P40" i="4"/>
  <c r="O40" i="4"/>
  <c r="N40" i="4"/>
  <c r="M40" i="4"/>
  <c r="L40" i="4"/>
  <c r="K40" i="4"/>
  <c r="J40" i="4"/>
  <c r="P37" i="4"/>
  <c r="O37" i="4"/>
  <c r="N37" i="4"/>
  <c r="M37" i="4"/>
  <c r="L37" i="4"/>
  <c r="K37" i="4"/>
  <c r="J37" i="4"/>
  <c r="P34" i="4"/>
  <c r="O34" i="4"/>
  <c r="N34" i="4"/>
  <c r="M34" i="4"/>
  <c r="L34" i="4"/>
  <c r="K34" i="4"/>
  <c r="J34" i="4"/>
  <c r="P26" i="4"/>
  <c r="O26" i="4"/>
  <c r="N26" i="4"/>
  <c r="M26" i="4"/>
  <c r="L26" i="4"/>
  <c r="K26" i="4"/>
  <c r="J26" i="4"/>
  <c r="P23" i="4"/>
  <c r="O23" i="4"/>
  <c r="N23" i="4"/>
  <c r="M23" i="4"/>
  <c r="L23" i="4"/>
  <c r="K23" i="4"/>
  <c r="J23" i="4"/>
  <c r="P20" i="4"/>
  <c r="O20" i="4"/>
  <c r="N20" i="4"/>
  <c r="M20" i="4"/>
  <c r="L20" i="4"/>
  <c r="K20" i="4"/>
  <c r="J20" i="4"/>
  <c r="P12" i="4"/>
  <c r="O12" i="4"/>
  <c r="N12" i="4"/>
  <c r="M12" i="4"/>
  <c r="L12" i="4"/>
  <c r="K12" i="4"/>
  <c r="J12" i="4"/>
  <c r="P9" i="4"/>
  <c r="O9" i="4"/>
  <c r="N9" i="4"/>
  <c r="M9" i="4"/>
  <c r="L9" i="4"/>
  <c r="K9" i="4"/>
  <c r="J9" i="4"/>
  <c r="P6" i="4"/>
  <c r="O6" i="4"/>
  <c r="N6" i="4"/>
  <c r="M6" i="4"/>
  <c r="L6" i="4"/>
  <c r="K6" i="4"/>
  <c r="J6" i="4"/>
  <c r="K3" i="4"/>
  <c r="L3" i="4"/>
  <c r="M3" i="4"/>
  <c r="N3" i="4"/>
  <c r="O3" i="4"/>
  <c r="P3" i="4"/>
  <c r="J3" i="4"/>
  <c r="E44" i="2" l="1"/>
  <c r="O44" i="2" s="1"/>
  <c r="P60" i="2"/>
  <c r="J58" i="2"/>
  <c r="P7" i="2"/>
  <c r="O4" i="2"/>
  <c r="Q5" i="2"/>
  <c r="N13" i="2"/>
  <c r="M13" i="2"/>
  <c r="N5" i="2"/>
  <c r="P12" i="2"/>
  <c r="N43" i="2"/>
  <c r="N27" i="2"/>
  <c r="O43" i="2"/>
  <c r="B3" i="6"/>
  <c r="F3" i="6" s="1"/>
  <c r="H30" i="2"/>
  <c r="P27" i="2"/>
  <c r="F39" i="2"/>
  <c r="P39" i="2" s="1"/>
  <c r="Q27" i="2"/>
  <c r="M39" i="2"/>
  <c r="P63" i="2"/>
  <c r="M59" i="2"/>
  <c r="M23" i="2"/>
  <c r="N59" i="2"/>
  <c r="N63" i="2"/>
  <c r="O22" i="2"/>
  <c r="Q39" i="2"/>
  <c r="H60" i="2"/>
  <c r="Q40" i="2"/>
  <c r="O23" i="2"/>
  <c r="P23" i="2"/>
  <c r="O60" i="2"/>
  <c r="Z7" i="7"/>
  <c r="AF49" i="7" s="1"/>
  <c r="Y49" i="7" s="1"/>
  <c r="AC49" i="7" s="1"/>
  <c r="E49" i="7" s="1"/>
  <c r="E109" i="7" s="1"/>
  <c r="AA29" i="4"/>
  <c r="AB29" i="4" s="1"/>
  <c r="Z29" i="4"/>
  <c r="AC29" i="4" s="1"/>
  <c r="AA54" i="4"/>
  <c r="AB54" i="4" s="1"/>
  <c r="AL9" i="4" s="1"/>
  <c r="AM28" i="4"/>
  <c r="AA14" i="4"/>
  <c r="AB14" i="4" s="1"/>
  <c r="AL28" i="4"/>
  <c r="Z51" i="4"/>
  <c r="AA48" i="4"/>
  <c r="Z14" i="4"/>
  <c r="AC14" i="4" s="1"/>
  <c r="AA62" i="4"/>
  <c r="AB62" i="4" s="1"/>
  <c r="AM5" i="4" s="1"/>
  <c r="AA37" i="4"/>
  <c r="AB37" i="4" s="1"/>
  <c r="AK7" i="4" s="1"/>
  <c r="AA68" i="4"/>
  <c r="AB68" i="4" s="1"/>
  <c r="AM9" i="4" s="1"/>
  <c r="AA23" i="4"/>
  <c r="AB23" i="4" s="1"/>
  <c r="AJ7" i="4" s="1"/>
  <c r="AM30" i="4"/>
  <c r="AA34" i="4"/>
  <c r="AB34" i="4" s="1"/>
  <c r="AK5" i="4" s="1"/>
  <c r="AA65" i="4"/>
  <c r="AA40" i="4"/>
  <c r="AA20" i="4"/>
  <c r="AB20" i="4" s="1"/>
  <c r="AJ5" i="4" s="1"/>
  <c r="AA9" i="4"/>
  <c r="AB9" i="4" s="1"/>
  <c r="AI7" i="4" s="1"/>
  <c r="Z23" i="4"/>
  <c r="AC23" i="4" s="1"/>
  <c r="AJ8" i="4" s="1"/>
  <c r="M42" i="7" s="1"/>
  <c r="AA51" i="4"/>
  <c r="AB51" i="4" s="1"/>
  <c r="AL7" i="4" s="1"/>
  <c r="Z54" i="4"/>
  <c r="AC54" i="4" s="1"/>
  <c r="AL10" i="4" s="1"/>
  <c r="U42" i="7" s="1"/>
  <c r="AL30" i="4"/>
  <c r="Z34" i="4"/>
  <c r="AC34" i="4" s="1"/>
  <c r="AK6" i="4" s="1"/>
  <c r="H42" i="7" s="1"/>
  <c r="Z62" i="4"/>
  <c r="AC62" i="4" s="1"/>
  <c r="AM6" i="4" s="1"/>
  <c r="J42" i="7" s="1"/>
  <c r="AA26" i="4"/>
  <c r="AB26" i="4" s="1"/>
  <c r="AJ9" i="4" s="1"/>
  <c r="Z37" i="4"/>
  <c r="AC37" i="4" s="1"/>
  <c r="AK8" i="4" s="1"/>
  <c r="N42" i="7" s="1"/>
  <c r="Z65" i="4"/>
  <c r="AC65" i="4" s="1"/>
  <c r="AM8" i="4" s="1"/>
  <c r="P42" i="7" s="1"/>
  <c r="AM29" i="4"/>
  <c r="AA6" i="4"/>
  <c r="AB6" i="4" s="1"/>
  <c r="AI5" i="4" s="1"/>
  <c r="AA12" i="4"/>
  <c r="AB12" i="4" s="1"/>
  <c r="AI9" i="4" s="1"/>
  <c r="AL29" i="4"/>
  <c r="Z40" i="4"/>
  <c r="Z68" i="4"/>
  <c r="AC68" i="4" s="1"/>
  <c r="AM10" i="4" s="1"/>
  <c r="V42" i="7" s="1"/>
  <c r="AK25" i="4"/>
  <c r="AK26" i="4" s="1"/>
  <c r="AK30" i="4" s="1"/>
  <c r="Z48" i="4"/>
  <c r="AC48" i="4" s="1"/>
  <c r="AL6" i="4" s="1"/>
  <c r="I42" i="7" s="1"/>
  <c r="D7" i="2"/>
  <c r="N7" i="2" s="1"/>
  <c r="AI70" i="7"/>
  <c r="P10" i="2"/>
  <c r="M7" i="2"/>
  <c r="N39" i="2"/>
  <c r="Q44" i="2"/>
  <c r="AJ14" i="4"/>
  <c r="AJ24" i="4" s="1"/>
  <c r="E11" i="2"/>
  <c r="O11" i="2" s="1"/>
  <c r="Q9" i="2"/>
  <c r="Q6" i="2"/>
  <c r="E25" i="2"/>
  <c r="O25" i="2" s="1"/>
  <c r="M63" i="2"/>
  <c r="AK14" i="4"/>
  <c r="P9" i="2"/>
  <c r="O6" i="2"/>
  <c r="AL14" i="4"/>
  <c r="AI55" i="7"/>
  <c r="AB55" i="7" s="1"/>
  <c r="AC55" i="7" s="1"/>
  <c r="E55" i="7" s="1"/>
  <c r="E115" i="7" s="1"/>
  <c r="N9" i="2"/>
  <c r="N6" i="2"/>
  <c r="F22" i="2"/>
  <c r="P22" i="2" s="1"/>
  <c r="AM14" i="4"/>
  <c r="Z20" i="4"/>
  <c r="AC20" i="4" s="1"/>
  <c r="AJ6" i="4" s="1"/>
  <c r="G42" i="7" s="1"/>
  <c r="Q12" i="2"/>
  <c r="Q8" i="2"/>
  <c r="P8" i="2"/>
  <c r="N56" i="2"/>
  <c r="Z26" i="4"/>
  <c r="AC26" i="4" s="1"/>
  <c r="AJ10" i="4" s="1"/>
  <c r="S42" i="7" s="1"/>
  <c r="AI85" i="7"/>
  <c r="M57" i="2"/>
  <c r="D57" i="2"/>
  <c r="N57" i="2" s="1"/>
  <c r="Q43" i="2"/>
  <c r="AI14" i="4"/>
  <c r="AI24" i="4" s="1"/>
  <c r="O56" i="2"/>
  <c r="P59" i="2"/>
  <c r="P56" i="2"/>
  <c r="Q61" i="2"/>
  <c r="Q60" i="2"/>
  <c r="Q63" i="2"/>
  <c r="C54" i="2"/>
  <c r="G54" i="2"/>
  <c r="E59" i="2"/>
  <c r="O59" i="2" s="1"/>
  <c r="E42" i="2"/>
  <c r="O42" i="2" s="1"/>
  <c r="N46" i="2"/>
  <c r="P46" i="2"/>
  <c r="N44" i="2"/>
  <c r="M42" i="2"/>
  <c r="N42" i="2"/>
  <c r="P42" i="2"/>
  <c r="O58" i="2"/>
  <c r="D62" i="2"/>
  <c r="N62" i="2" s="1"/>
  <c r="M62" i="2"/>
  <c r="N55" i="2"/>
  <c r="M58" i="2"/>
  <c r="M55" i="2"/>
  <c r="H54" i="2"/>
  <c r="N58" i="2"/>
  <c r="O62" i="2"/>
  <c r="C64" i="2"/>
  <c r="L54" i="2"/>
  <c r="P55" i="2"/>
  <c r="E61" i="2"/>
  <c r="O61" i="2" s="1"/>
  <c r="P62" i="2"/>
  <c r="H64" i="2"/>
  <c r="P58" i="2"/>
  <c r="C60" i="2"/>
  <c r="M60" i="2" s="1"/>
  <c r="E55" i="2"/>
  <c r="O55" i="2" s="1"/>
  <c r="N54" i="2"/>
  <c r="N64" i="2"/>
  <c r="O54" i="2"/>
  <c r="O64" i="2"/>
  <c r="P64" i="2"/>
  <c r="E38" i="2"/>
  <c r="O38" i="2" s="1"/>
  <c r="D45" i="2"/>
  <c r="N45" i="2" s="1"/>
  <c r="C37" i="2"/>
  <c r="G37" i="2"/>
  <c r="N38" i="2"/>
  <c r="M41" i="2"/>
  <c r="H37" i="2"/>
  <c r="N41" i="2"/>
  <c r="O45" i="2"/>
  <c r="C47" i="2"/>
  <c r="J41" i="2"/>
  <c r="O41" i="2" s="1"/>
  <c r="L37" i="2"/>
  <c r="P38" i="2"/>
  <c r="D40" i="2"/>
  <c r="N40" i="2" s="1"/>
  <c r="P45" i="2"/>
  <c r="H47" i="2"/>
  <c r="M38" i="2"/>
  <c r="M40" i="2"/>
  <c r="P41" i="2"/>
  <c r="C43" i="2"/>
  <c r="M43" i="2" s="1"/>
  <c r="M44" i="2"/>
  <c r="Q45" i="2"/>
  <c r="N37" i="2"/>
  <c r="N47" i="2"/>
  <c r="O37" i="2"/>
  <c r="O40" i="2"/>
  <c r="O47" i="2"/>
  <c r="L46" i="2"/>
  <c r="Q46" i="2" s="1"/>
  <c r="P47" i="2"/>
  <c r="Q26" i="2"/>
  <c r="Q29" i="2"/>
  <c r="M29" i="2"/>
  <c r="N26" i="2"/>
  <c r="N29" i="2"/>
  <c r="O29" i="2"/>
  <c r="N22" i="2"/>
  <c r="M25" i="2"/>
  <c r="E21" i="2"/>
  <c r="O21" i="2" s="1"/>
  <c r="D28" i="2"/>
  <c r="N28" i="2" s="1"/>
  <c r="C20" i="2"/>
  <c r="M21" i="2"/>
  <c r="Q22" i="2"/>
  <c r="J24" i="2"/>
  <c r="O24" i="2" s="1"/>
  <c r="P25" i="2"/>
  <c r="M28" i="2"/>
  <c r="G20" i="2"/>
  <c r="N21" i="2"/>
  <c r="M24" i="2"/>
  <c r="H20" i="2"/>
  <c r="N24" i="2"/>
  <c r="O28" i="2"/>
  <c r="C30" i="2"/>
  <c r="M30" i="2" s="1"/>
  <c r="L20" i="2"/>
  <c r="P21" i="2"/>
  <c r="D23" i="2"/>
  <c r="N23" i="2" s="1"/>
  <c r="E27" i="2"/>
  <c r="O27" i="2" s="1"/>
  <c r="P28" i="2"/>
  <c r="P24" i="2"/>
  <c r="C26" i="2"/>
  <c r="N20" i="2"/>
  <c r="N30" i="2"/>
  <c r="O20" i="2"/>
  <c r="H26" i="2"/>
  <c r="O30" i="2"/>
  <c r="P30" i="2"/>
  <c r="C14" i="2"/>
  <c r="E5" i="2"/>
  <c r="O5" i="2" s="1"/>
  <c r="P6" i="2"/>
  <c r="P13" i="2"/>
  <c r="O10" i="2"/>
  <c r="Q14" i="2"/>
  <c r="P14" i="2"/>
  <c r="O14" i="2"/>
  <c r="N14" i="2"/>
  <c r="G10" i="2"/>
  <c r="Q10" i="2" s="1"/>
  <c r="H10" i="2"/>
  <c r="C10" i="2"/>
  <c r="H14" i="2"/>
  <c r="C4" i="2"/>
  <c r="L13" i="2"/>
  <c r="Q13" i="2" s="1"/>
  <c r="J8" i="2"/>
  <c r="O8" i="2" s="1"/>
  <c r="E9" i="2"/>
  <c r="O9" i="2" s="1"/>
  <c r="H4" i="2"/>
  <c r="L4" i="2"/>
  <c r="Q4" i="2" s="1"/>
  <c r="D12" i="2"/>
  <c r="N12" i="2" s="1"/>
  <c r="AW11" i="7"/>
  <c r="AG83" i="7" s="1"/>
  <c r="Z83" i="7" s="1"/>
  <c r="AC83" i="7" s="1"/>
  <c r="E83" i="7" s="1"/>
  <c r="E143" i="7" s="1"/>
  <c r="AX6" i="7"/>
  <c r="AH78" i="7" s="1"/>
  <c r="AA78" i="7" s="1"/>
  <c r="AC78" i="7" s="1"/>
  <c r="E78" i="7" s="1"/>
  <c r="E138" i="7" s="1"/>
  <c r="Y14" i="7"/>
  <c r="AE56" i="7" s="1"/>
  <c r="AU10" i="7"/>
  <c r="AE82" i="7" s="1"/>
  <c r="X82" i="7" s="1"/>
  <c r="AY4" i="7"/>
  <c r="AI76" i="7" s="1"/>
  <c r="AB48" i="4"/>
  <c r="AL5" i="4" s="1"/>
  <c r="Z6" i="4"/>
  <c r="AC6" i="4" s="1"/>
  <c r="AI6" i="4" s="1"/>
  <c r="F42" i="7" s="1"/>
  <c r="Z9" i="4"/>
  <c r="AC9" i="4" s="1"/>
  <c r="AI8" i="4" s="1"/>
  <c r="L42" i="7" s="1"/>
  <c r="Z12" i="4"/>
  <c r="AC12" i="4" s="1"/>
  <c r="AI10" i="4" s="1"/>
  <c r="R42" i="7" s="1"/>
  <c r="AC51" i="4"/>
  <c r="AL8" i="4" s="1"/>
  <c r="O42" i="7" s="1"/>
  <c r="AB65" i="4"/>
  <c r="AM7" i="4" s="1"/>
  <c r="AB6" i="7"/>
  <c r="AH48" i="7" s="1"/>
  <c r="AA48" i="7" s="1"/>
  <c r="AC48" i="7" s="1"/>
  <c r="E48" i="7" s="1"/>
  <c r="E108" i="7" s="1"/>
  <c r="AA11" i="7"/>
  <c r="AG53" i="7" s="1"/>
  <c r="Z53" i="7" s="1"/>
  <c r="AC53" i="7" s="1"/>
  <c r="E53" i="7" s="1"/>
  <c r="E113" i="7" s="1"/>
  <c r="AA9" i="7"/>
  <c r="AG51" i="7" s="1"/>
  <c r="Z51" i="7" s="1"/>
  <c r="AC51" i="7" s="1"/>
  <c r="E51" i="7" s="1"/>
  <c r="E111" i="7" s="1"/>
  <c r="AF8" i="7"/>
  <c r="AL50" i="7" s="1"/>
  <c r="Z50" i="7" s="1"/>
  <c r="AC50" i="7" s="1"/>
  <c r="E50" i="7" s="1"/>
  <c r="E110" i="7" s="1"/>
  <c r="AD14" i="7"/>
  <c r="AJ56" i="7" s="1"/>
  <c r="AK12" i="7"/>
  <c r="AF69" i="7" s="1"/>
  <c r="Y69" i="7" s="1"/>
  <c r="AC69" i="7" s="1"/>
  <c r="E69" i="7" s="1"/>
  <c r="E129" i="7" s="1"/>
  <c r="AN4" i="7"/>
  <c r="AI61" i="7" s="1"/>
  <c r="AK7" i="7"/>
  <c r="AF64" i="7" s="1"/>
  <c r="Y64" i="7" s="1"/>
  <c r="AC64" i="7" s="1"/>
  <c r="E64" i="7" s="1"/>
  <c r="E124" i="7" s="1"/>
  <c r="AL5" i="7"/>
  <c r="AG62" i="7" s="1"/>
  <c r="Z62" i="7" s="1"/>
  <c r="AC62" i="7" s="1"/>
  <c r="E62" i="7" s="1"/>
  <c r="E122" i="7" s="1"/>
  <c r="P6" i="7"/>
  <c r="U6" i="7" s="1"/>
  <c r="AA5" i="7"/>
  <c r="AG47" i="7" s="1"/>
  <c r="Z47" i="7" s="1"/>
  <c r="AC47" i="7" s="1"/>
  <c r="E47" i="7" s="1"/>
  <c r="E107" i="7" s="1"/>
  <c r="AS13" i="7"/>
  <c r="AN70" i="7" s="1"/>
  <c r="Y10" i="7"/>
  <c r="AE52" i="7" s="1"/>
  <c r="AC10" i="7"/>
  <c r="AI52" i="7" s="1"/>
  <c r="AB52" i="7" s="1"/>
  <c r="AS10" i="7"/>
  <c r="AN67" i="7" s="1"/>
  <c r="AB67" i="7" s="1"/>
  <c r="Y4" i="7"/>
  <c r="AE46" i="7" s="1"/>
  <c r="AD10" i="7"/>
  <c r="AJ52" i="7" s="1"/>
  <c r="AJ14" i="7"/>
  <c r="AE71" i="7" s="1"/>
  <c r="X71" i="7" s="1"/>
  <c r="AC71" i="7" s="1"/>
  <c r="E71" i="7" s="1"/>
  <c r="E131" i="7" s="1"/>
  <c r="AD4" i="7"/>
  <c r="AJ46" i="7" s="1"/>
  <c r="AU14" i="7"/>
  <c r="AE86" i="7" s="1"/>
  <c r="AH4" i="7"/>
  <c r="AN46" i="7" s="1"/>
  <c r="AB46" i="7" s="1"/>
  <c r="Z12" i="7"/>
  <c r="AF54" i="7" s="1"/>
  <c r="Y54" i="7" s="1"/>
  <c r="AC54" i="7" s="1"/>
  <c r="E54" i="7" s="1"/>
  <c r="E114" i="7" s="1"/>
  <c r="AZ14" i="7"/>
  <c r="AJ86" i="7" s="1"/>
  <c r="AL9" i="7"/>
  <c r="AG66" i="7" s="1"/>
  <c r="Z66" i="7" s="1"/>
  <c r="AC66" i="7" s="1"/>
  <c r="E66" i="7" s="1"/>
  <c r="E126" i="7" s="1"/>
  <c r="AZ10" i="7"/>
  <c r="AJ82" i="7" s="1"/>
  <c r="AV12" i="7"/>
  <c r="AF84" i="7" s="1"/>
  <c r="Y84" i="7" s="1"/>
  <c r="AC84" i="7" s="1"/>
  <c r="E84" i="7" s="1"/>
  <c r="E144" i="7" s="1"/>
  <c r="AZ4" i="7"/>
  <c r="AJ76" i="7" s="1"/>
  <c r="X76" i="7" s="1"/>
  <c r="AW5" i="7"/>
  <c r="AG77" i="7" s="1"/>
  <c r="Z77" i="7" s="1"/>
  <c r="AC77" i="7" s="1"/>
  <c r="E77" i="7" s="1"/>
  <c r="E137" i="7" s="1"/>
  <c r="AV7" i="7"/>
  <c r="AF79" i="7" s="1"/>
  <c r="Y79" i="7" s="1"/>
  <c r="AC79" i="7" s="1"/>
  <c r="E79" i="7" s="1"/>
  <c r="E139" i="7" s="1"/>
  <c r="AW8" i="7"/>
  <c r="AG80" i="7" s="1"/>
  <c r="BD13" i="7"/>
  <c r="AN85" i="7" s="1"/>
  <c r="BB8" i="7"/>
  <c r="AL80" i="7" s="1"/>
  <c r="AW9" i="7"/>
  <c r="AG81" i="7" s="1"/>
  <c r="Z81" i="7" s="1"/>
  <c r="AC81" i="7" s="1"/>
  <c r="E81" i="7" s="1"/>
  <c r="E141" i="7" s="1"/>
  <c r="AY10" i="7"/>
  <c r="AI82" i="7" s="1"/>
  <c r="AB82" i="7" s="1"/>
  <c r="BD4" i="7"/>
  <c r="AN76" i="7" s="1"/>
  <c r="AJ4" i="7"/>
  <c r="AE61" i="7" s="1"/>
  <c r="AL11" i="7"/>
  <c r="AG68" i="7" s="1"/>
  <c r="Z68" i="7" s="1"/>
  <c r="AC68" i="7" s="1"/>
  <c r="E68" i="7" s="1"/>
  <c r="E128" i="7" s="1"/>
  <c r="AJ10" i="7"/>
  <c r="AE67" i="7" s="1"/>
  <c r="X67" i="7" s="1"/>
  <c r="AO14" i="7"/>
  <c r="AJ71" i="7" s="1"/>
  <c r="AQ8" i="7"/>
  <c r="AL65" i="7" s="1"/>
  <c r="Z65" i="7" s="1"/>
  <c r="AC65" i="7" s="1"/>
  <c r="E65" i="7" s="1"/>
  <c r="E125" i="7" s="1"/>
  <c r="AO4" i="7"/>
  <c r="AJ61" i="7" s="1"/>
  <c r="AS4" i="7"/>
  <c r="AN61" i="7" s="1"/>
  <c r="N4" i="7"/>
  <c r="S4" i="7" s="1"/>
  <c r="Q13" i="7"/>
  <c r="V13" i="7" s="1"/>
  <c r="Q14" i="7"/>
  <c r="V14" i="7" s="1"/>
  <c r="O13" i="7"/>
  <c r="T13" i="7" s="1"/>
  <c r="AE12" i="3"/>
  <c r="AG12" i="3" s="1"/>
  <c r="AG24" i="3" s="1"/>
  <c r="Q12" i="7"/>
  <c r="V12" i="7" s="1"/>
  <c r="P10" i="7"/>
  <c r="U10" i="7" s="1"/>
  <c r="U12" i="3"/>
  <c r="Z12" i="3" s="1"/>
  <c r="Z24" i="3" s="1"/>
  <c r="P9" i="7"/>
  <c r="U9" i="7" s="1"/>
  <c r="O8" i="7"/>
  <c r="P8" i="7"/>
  <c r="U8" i="7" s="1"/>
  <c r="P5" i="7"/>
  <c r="U5" i="7" s="1"/>
  <c r="O14" i="7"/>
  <c r="T14" i="7" s="1"/>
  <c r="Q9" i="7"/>
  <c r="V9" i="7" s="1"/>
  <c r="Q5" i="7"/>
  <c r="V5" i="7" s="1"/>
  <c r="N13" i="7"/>
  <c r="S13" i="7" s="1"/>
  <c r="M13" i="7"/>
  <c r="R13" i="7" s="1"/>
  <c r="AE9" i="3"/>
  <c r="AG9" i="3" s="1"/>
  <c r="AG21" i="3" s="1"/>
  <c r="N8" i="7"/>
  <c r="P12" i="7"/>
  <c r="U12" i="7" s="1"/>
  <c r="M8" i="7"/>
  <c r="R8" i="7" s="1"/>
  <c r="O12" i="7"/>
  <c r="T12" i="7" s="1"/>
  <c r="Q7" i="7"/>
  <c r="V7" i="7" s="1"/>
  <c r="P4" i="7"/>
  <c r="U4" i="7" s="1"/>
  <c r="Q11" i="7"/>
  <c r="V11" i="7" s="1"/>
  <c r="P7" i="7"/>
  <c r="U7" i="7" s="1"/>
  <c r="O4" i="7"/>
  <c r="T4" i="7" s="1"/>
  <c r="M11" i="7"/>
  <c r="R11" i="7" s="1"/>
  <c r="O7" i="7"/>
  <c r="T7" i="7" s="1"/>
  <c r="M7" i="7"/>
  <c r="R7" i="7" s="1"/>
  <c r="O10" i="7"/>
  <c r="T10" i="7" s="1"/>
  <c r="N6" i="7"/>
  <c r="S6" i="7" s="1"/>
  <c r="P14" i="7"/>
  <c r="U14" i="7" s="1"/>
  <c r="N10" i="7"/>
  <c r="S10" i="7" s="1"/>
  <c r="M6" i="7"/>
  <c r="R6" i="7" s="1"/>
  <c r="Q4" i="7"/>
  <c r="W7" i="3"/>
  <c r="Y7" i="3" s="1"/>
  <c r="Y19" i="3" s="1"/>
  <c r="AD9" i="3"/>
  <c r="AF9" i="3" s="1"/>
  <c r="AI9" i="3" s="1"/>
  <c r="AI21" i="3" s="1"/>
  <c r="N5" i="7"/>
  <c r="S5" i="7" s="1"/>
  <c r="M5" i="7"/>
  <c r="R5" i="7" s="1"/>
  <c r="M12" i="7"/>
  <c r="R12" i="7" s="1"/>
  <c r="B10" i="7"/>
  <c r="N14" i="7"/>
  <c r="S14" i="7" s="1"/>
  <c r="AD3" i="3"/>
  <c r="AF3" i="3" s="1"/>
  <c r="AI3" i="3" s="1"/>
  <c r="P11" i="7"/>
  <c r="U11" i="7" s="1"/>
  <c r="N9" i="7"/>
  <c r="S9" i="7" s="1"/>
  <c r="Q6" i="7"/>
  <c r="V6" i="7" s="1"/>
  <c r="AC9" i="3"/>
  <c r="AH9" i="3" s="1"/>
  <c r="AH21" i="3" s="1"/>
  <c r="AD8" i="3"/>
  <c r="AF8" i="3" s="1"/>
  <c r="AI8" i="3" s="1"/>
  <c r="AI20" i="3" s="1"/>
  <c r="AE14" i="3"/>
  <c r="AG14" i="3" s="1"/>
  <c r="AG26" i="3" s="1"/>
  <c r="B4" i="7"/>
  <c r="M4" i="7" s="1"/>
  <c r="C12" i="7"/>
  <c r="J8" i="7"/>
  <c r="H10" i="7"/>
  <c r="G10" i="7"/>
  <c r="H14" i="7"/>
  <c r="C7" i="7"/>
  <c r="B14" i="7"/>
  <c r="D9" i="7"/>
  <c r="D5" i="7"/>
  <c r="D11" i="7"/>
  <c r="H4" i="7"/>
  <c r="L4" i="7"/>
  <c r="R5" i="3"/>
  <c r="V7" i="3"/>
  <c r="X7" i="3" s="1"/>
  <c r="AA7" i="3" s="1"/>
  <c r="AA19" i="3" s="1"/>
  <c r="AC11" i="3"/>
  <c r="AH11" i="3" s="1"/>
  <c r="AH23" i="3" s="1"/>
  <c r="AC5" i="3"/>
  <c r="AH5" i="3" s="1"/>
  <c r="AD5" i="3"/>
  <c r="AF5" i="3" s="1"/>
  <c r="AI5" i="3" s="1"/>
  <c r="AE10" i="3"/>
  <c r="AG10" i="3" s="1"/>
  <c r="AG22" i="3" s="1"/>
  <c r="N10" i="3"/>
  <c r="P10" i="3" s="1"/>
  <c r="S10" i="3" s="1"/>
  <c r="S22" i="3" s="1"/>
  <c r="N5" i="3"/>
  <c r="P5" i="3" s="1"/>
  <c r="S5" i="3" s="1"/>
  <c r="AE5" i="3"/>
  <c r="AG5" i="3" s="1"/>
  <c r="AD13" i="3"/>
  <c r="AF13" i="3" s="1"/>
  <c r="AI13" i="3" s="1"/>
  <c r="AI25" i="3" s="1"/>
  <c r="O8" i="3"/>
  <c r="Q8" i="3" s="1"/>
  <c r="Q20" i="3" s="1"/>
  <c r="AC6" i="3"/>
  <c r="AD6" i="3"/>
  <c r="AF6" i="3" s="1"/>
  <c r="AI6" i="3" s="1"/>
  <c r="AE6" i="3"/>
  <c r="AG6" i="3" s="1"/>
  <c r="V9" i="3"/>
  <c r="X9" i="3" s="1"/>
  <c r="AA9" i="3" s="1"/>
  <c r="AA21" i="3" s="1"/>
  <c r="AC7" i="3"/>
  <c r="AH7" i="3" s="1"/>
  <c r="AH19" i="3" s="1"/>
  <c r="AC14" i="3"/>
  <c r="AH14" i="3" s="1"/>
  <c r="AH26" i="3" s="1"/>
  <c r="O7" i="3"/>
  <c r="Q7" i="3" s="1"/>
  <c r="Q19" i="3" s="1"/>
  <c r="U9" i="3"/>
  <c r="Z9" i="3" s="1"/>
  <c r="Z21" i="3" s="1"/>
  <c r="Z5" i="3"/>
  <c r="AD7" i="3"/>
  <c r="AF7" i="3" s="1"/>
  <c r="AI7" i="3" s="1"/>
  <c r="AI19" i="3" s="1"/>
  <c r="O13" i="3"/>
  <c r="Q13" i="3" s="1"/>
  <c r="Q25" i="3" s="1"/>
  <c r="U7" i="3"/>
  <c r="Z7" i="3" s="1"/>
  <c r="Z19" i="3" s="1"/>
  <c r="V12" i="3"/>
  <c r="X12" i="3" s="1"/>
  <c r="AA12" i="3" s="1"/>
  <c r="AA24" i="3" s="1"/>
  <c r="AC3" i="3"/>
  <c r="AH3" i="3" s="1"/>
  <c r="O14" i="3"/>
  <c r="Q14" i="3" s="1"/>
  <c r="Q26" i="3" s="1"/>
  <c r="M12" i="3"/>
  <c r="R12" i="3" s="1"/>
  <c r="R24" i="3" s="1"/>
  <c r="W12" i="3"/>
  <c r="Y12" i="3" s="1"/>
  <c r="Y24" i="3" s="1"/>
  <c r="AC10" i="3"/>
  <c r="AH10" i="3" s="1"/>
  <c r="AH22" i="3" s="1"/>
  <c r="AD10" i="3"/>
  <c r="AF10" i="3" s="1"/>
  <c r="AI10" i="3" s="1"/>
  <c r="AI22" i="3" s="1"/>
  <c r="N6" i="3"/>
  <c r="P6" i="3" s="1"/>
  <c r="S6" i="3" s="1"/>
  <c r="N9" i="3"/>
  <c r="O12" i="3"/>
  <c r="Q12" i="3" s="1"/>
  <c r="Q24" i="3" s="1"/>
  <c r="V4" i="3"/>
  <c r="X4" i="3" s="1"/>
  <c r="AA4" i="3" s="1"/>
  <c r="V8" i="3"/>
  <c r="X8" i="3" s="1"/>
  <c r="AA8" i="3" s="1"/>
  <c r="AA20" i="3" s="1"/>
  <c r="U13" i="3"/>
  <c r="Z13" i="3" s="1"/>
  <c r="Z25" i="3" s="1"/>
  <c r="O6" i="3"/>
  <c r="Q6" i="3" s="1"/>
  <c r="O9" i="3"/>
  <c r="Q9" i="3" s="1"/>
  <c r="Q21" i="3" s="1"/>
  <c r="M13" i="3"/>
  <c r="R13" i="3" s="1"/>
  <c r="R25" i="3" s="1"/>
  <c r="W4" i="3"/>
  <c r="Y4" i="3" s="1"/>
  <c r="W14" i="3"/>
  <c r="Y14" i="3" s="1"/>
  <c r="Y26" i="3" s="1"/>
  <c r="N12" i="3"/>
  <c r="P12" i="3" s="1"/>
  <c r="S12" i="3" s="1"/>
  <c r="S24" i="3" s="1"/>
  <c r="U8" i="3"/>
  <c r="Z8" i="3" s="1"/>
  <c r="Z20" i="3" s="1"/>
  <c r="M3" i="3"/>
  <c r="R3" i="3" s="1"/>
  <c r="M10" i="3"/>
  <c r="R10" i="3" s="1"/>
  <c r="R22" i="3" s="1"/>
  <c r="N13" i="3"/>
  <c r="P13" i="3" s="1"/>
  <c r="S13" i="3" s="1"/>
  <c r="S25" i="3" s="1"/>
  <c r="W9" i="3"/>
  <c r="Y9" i="3" s="1"/>
  <c r="Y21" i="3" s="1"/>
  <c r="U3" i="3"/>
  <c r="Z3" i="3" s="1"/>
  <c r="M4" i="3"/>
  <c r="R4" i="3" s="1"/>
  <c r="M7" i="3"/>
  <c r="R7" i="3" s="1"/>
  <c r="R19" i="3" s="1"/>
  <c r="O10" i="3"/>
  <c r="Q10" i="3" s="1"/>
  <c r="Q22" i="3" s="1"/>
  <c r="V5" i="3"/>
  <c r="X5" i="3" s="1"/>
  <c r="AA5" i="3" s="1"/>
  <c r="U10" i="3"/>
  <c r="Z10" i="3" s="1"/>
  <c r="Z22" i="3" s="1"/>
  <c r="AC4" i="3"/>
  <c r="AH4" i="3" s="1"/>
  <c r="AE7" i="3"/>
  <c r="AG7" i="3" s="1"/>
  <c r="AG19" i="3" s="1"/>
  <c r="AD11" i="3"/>
  <c r="AF11" i="3" s="1"/>
  <c r="AI11" i="3" s="1"/>
  <c r="AI23" i="3" s="1"/>
  <c r="N4" i="3"/>
  <c r="N7" i="3"/>
  <c r="P7" i="3" s="1"/>
  <c r="S7" i="3" s="1"/>
  <c r="S19" i="3" s="1"/>
  <c r="M11" i="3"/>
  <c r="R11" i="3" s="1"/>
  <c r="R23" i="3" s="1"/>
  <c r="M14" i="3"/>
  <c r="R14" i="3" s="1"/>
  <c r="R26" i="3" s="1"/>
  <c r="W5" i="3"/>
  <c r="Y5" i="3" s="1"/>
  <c r="V10" i="3"/>
  <c r="X10" i="3" s="1"/>
  <c r="AA10" i="3" s="1"/>
  <c r="AA22" i="3" s="1"/>
  <c r="V14" i="3"/>
  <c r="X14" i="3" s="1"/>
  <c r="AA14" i="3" s="1"/>
  <c r="AA26" i="3" s="1"/>
  <c r="AD4" i="3"/>
  <c r="AF4" i="3" s="1"/>
  <c r="AI4" i="3" s="1"/>
  <c r="AC8" i="3"/>
  <c r="AH8" i="3" s="1"/>
  <c r="AH20" i="3" s="1"/>
  <c r="AE11" i="3"/>
  <c r="AG11" i="3" s="1"/>
  <c r="AG23" i="3" s="1"/>
  <c r="V13" i="3"/>
  <c r="X13" i="3" s="1"/>
  <c r="AA13" i="3" s="1"/>
  <c r="AA25" i="3" s="1"/>
  <c r="O4" i="3"/>
  <c r="Q4" i="3" s="1"/>
  <c r="N11" i="3"/>
  <c r="P11" i="3" s="1"/>
  <c r="S11" i="3" s="1"/>
  <c r="S23" i="3" s="1"/>
  <c r="U6" i="3"/>
  <c r="Z6" i="3" s="1"/>
  <c r="W10" i="3"/>
  <c r="Y10" i="3" s="1"/>
  <c r="Y22" i="3" s="1"/>
  <c r="AE4" i="3"/>
  <c r="AG4" i="3" s="1"/>
  <c r="AC12" i="3"/>
  <c r="AH12" i="3" s="1"/>
  <c r="AH24" i="3" s="1"/>
  <c r="AE13" i="3"/>
  <c r="AG13" i="3" s="1"/>
  <c r="AG25" i="3" s="1"/>
  <c r="M9" i="3"/>
  <c r="R9" i="3" s="1"/>
  <c r="R21" i="3" s="1"/>
  <c r="M8" i="3"/>
  <c r="R8" i="3" s="1"/>
  <c r="R20" i="3" s="1"/>
  <c r="O11" i="3"/>
  <c r="Q11" i="3" s="1"/>
  <c r="Q23" i="3" s="1"/>
  <c r="V6" i="3"/>
  <c r="X6" i="3" s="1"/>
  <c r="AA6" i="3" s="1"/>
  <c r="V11" i="3"/>
  <c r="X11" i="3" s="1"/>
  <c r="AA11" i="3" s="1"/>
  <c r="AA23" i="3" s="1"/>
  <c r="AE8" i="3"/>
  <c r="AG8" i="3" s="1"/>
  <c r="AG20" i="3" s="1"/>
  <c r="AD12" i="3"/>
  <c r="AF12" i="3" s="1"/>
  <c r="AI12" i="3" s="1"/>
  <c r="AI24" i="3" s="1"/>
  <c r="M6" i="3"/>
  <c r="R6" i="3" s="1"/>
  <c r="N8" i="3"/>
  <c r="P8" i="3" s="1"/>
  <c r="S8" i="3" s="1"/>
  <c r="S20" i="3" s="1"/>
  <c r="N3" i="3"/>
  <c r="P3" i="3" s="1"/>
  <c r="S3" i="3" s="1"/>
  <c r="W11" i="3"/>
  <c r="Y11" i="3" s="1"/>
  <c r="Y23" i="3" s="1"/>
  <c r="O5" i="3"/>
  <c r="Q5" i="3" s="1"/>
  <c r="AD14" i="3"/>
  <c r="AF14" i="3" s="1"/>
  <c r="AI14" i="3" s="1"/>
  <c r="AI26" i="3" s="1"/>
  <c r="AC13" i="3"/>
  <c r="AH13" i="3" s="1"/>
  <c r="AH25" i="3" s="1"/>
  <c r="AH6" i="3"/>
  <c r="W13" i="3"/>
  <c r="Y13" i="3" s="1"/>
  <c r="Y25" i="3" s="1"/>
  <c r="V3" i="3"/>
  <c r="X3" i="3" s="1"/>
  <c r="AA3" i="3" s="1"/>
  <c r="W8" i="3"/>
  <c r="Y8" i="3" s="1"/>
  <c r="Y20" i="3" s="1"/>
  <c r="U11" i="3"/>
  <c r="Z11" i="3" s="1"/>
  <c r="Z23" i="3" s="1"/>
  <c r="U14" i="3"/>
  <c r="Z14" i="3" s="1"/>
  <c r="Z26" i="3" s="1"/>
  <c r="U4" i="3"/>
  <c r="Z4" i="3" s="1"/>
  <c r="W6" i="3"/>
  <c r="Y6" i="3" s="1"/>
  <c r="S14" i="3"/>
  <c r="S26" i="3" s="1"/>
  <c r="AD10" i="6"/>
  <c r="AD14" i="6"/>
  <c r="AB8" i="6"/>
  <c r="AB12" i="6"/>
  <c r="AB13" i="6"/>
  <c r="AD9" i="6"/>
  <c r="AB4" i="6"/>
  <c r="AD4" i="6"/>
  <c r="AB7" i="6"/>
  <c r="AD8" i="6"/>
  <c r="AD11" i="6"/>
  <c r="AD7" i="6"/>
  <c r="AC11" i="6"/>
  <c r="AE11" i="6" s="1"/>
  <c r="AD6" i="6"/>
  <c r="AB11" i="6"/>
  <c r="AC3" i="6"/>
  <c r="AE3" i="6" s="1"/>
  <c r="AC7" i="6"/>
  <c r="AE7" i="6" s="1"/>
  <c r="AD3" i="6"/>
  <c r="C67" i="6" s="1"/>
  <c r="AD13" i="6"/>
  <c r="AC4" i="6"/>
  <c r="AE4" i="6" s="1"/>
  <c r="AC8" i="6"/>
  <c r="AE8" i="6" s="1"/>
  <c r="AC14" i="6"/>
  <c r="AE14" i="6" s="1"/>
  <c r="AB5" i="6"/>
  <c r="AB9" i="6"/>
  <c r="AB3" i="6"/>
  <c r="AD5" i="6"/>
  <c r="AB10" i="6"/>
  <c r="AC12" i="6"/>
  <c r="AE12" i="6" s="1"/>
  <c r="AB6" i="6"/>
  <c r="AC10" i="6"/>
  <c r="AE10" i="6" s="1"/>
  <c r="AB14" i="6"/>
  <c r="AC6" i="6"/>
  <c r="AE6" i="6" s="1"/>
  <c r="AD12" i="6"/>
  <c r="AC9" i="6"/>
  <c r="AE9" i="6" s="1"/>
  <c r="AC13" i="6"/>
  <c r="AE13" i="6" s="1"/>
  <c r="M14" i="6"/>
  <c r="O14" i="6" s="1"/>
  <c r="M5" i="6"/>
  <c r="O5" i="6" s="1"/>
  <c r="N10" i="6"/>
  <c r="N4" i="6"/>
  <c r="R53" i="6" s="1"/>
  <c r="T4" i="6"/>
  <c r="U14" i="6"/>
  <c r="W14" i="6" s="1"/>
  <c r="N8" i="6"/>
  <c r="L9" i="6"/>
  <c r="N11" i="6"/>
  <c r="L12" i="6"/>
  <c r="N12" i="6"/>
  <c r="L11" i="6"/>
  <c r="V10" i="6"/>
  <c r="M11" i="6"/>
  <c r="O11" i="6" s="1"/>
  <c r="C3" i="6"/>
  <c r="E3" i="6" s="1"/>
  <c r="G3" i="6" s="1"/>
  <c r="L4" i="6"/>
  <c r="U3" i="6"/>
  <c r="W3" i="6" s="1"/>
  <c r="L5" i="6"/>
  <c r="T5" i="6"/>
  <c r="V13" i="6"/>
  <c r="L7" i="6"/>
  <c r="U7" i="6"/>
  <c r="W7" i="6" s="1"/>
  <c r="M3" i="6"/>
  <c r="O3" i="6" s="1"/>
  <c r="N13" i="6"/>
  <c r="M7" i="6"/>
  <c r="O7" i="6" s="1"/>
  <c r="V7" i="6"/>
  <c r="V14" i="6"/>
  <c r="V6" i="6"/>
  <c r="N7" i="6"/>
  <c r="U11" i="6"/>
  <c r="W11" i="6" s="1"/>
  <c r="N14" i="6"/>
  <c r="N6" i="6"/>
  <c r="L8" i="6"/>
  <c r="V11" i="6"/>
  <c r="L3" i="6"/>
  <c r="T3" i="6"/>
  <c r="T7" i="6"/>
  <c r="T11" i="6"/>
  <c r="T8" i="6"/>
  <c r="T12" i="6"/>
  <c r="V3" i="6"/>
  <c r="C82" i="6" s="1"/>
  <c r="M4" i="6"/>
  <c r="O4" i="6" s="1"/>
  <c r="M8" i="6"/>
  <c r="O8" i="6" s="1"/>
  <c r="M12" i="6"/>
  <c r="O12" i="6" s="1"/>
  <c r="U4" i="6"/>
  <c r="W4" i="6" s="1"/>
  <c r="U8" i="6"/>
  <c r="W8" i="6" s="1"/>
  <c r="U12" i="6"/>
  <c r="W12" i="6" s="1"/>
  <c r="V4" i="6"/>
  <c r="V8" i="6"/>
  <c r="V12" i="6"/>
  <c r="T9" i="6"/>
  <c r="T13" i="6"/>
  <c r="L13" i="6"/>
  <c r="M9" i="6"/>
  <c r="O9" i="6" s="1"/>
  <c r="M13" i="6"/>
  <c r="O13" i="6" s="1"/>
  <c r="U9" i="6"/>
  <c r="W9" i="6" s="1"/>
  <c r="U13" i="6"/>
  <c r="W13" i="6" s="1"/>
  <c r="N5" i="6"/>
  <c r="N9" i="6"/>
  <c r="V5" i="6"/>
  <c r="V9" i="6"/>
  <c r="L6" i="6"/>
  <c r="L10" i="6"/>
  <c r="L14" i="6"/>
  <c r="T6" i="6"/>
  <c r="T10" i="6"/>
  <c r="T14" i="6"/>
  <c r="M6" i="6"/>
  <c r="O6" i="6" s="1"/>
  <c r="M10" i="6"/>
  <c r="O10" i="6" s="1"/>
  <c r="U6" i="6"/>
  <c r="W6" i="6" s="1"/>
  <c r="U10" i="6"/>
  <c r="W10" i="6" s="1"/>
  <c r="B9" i="6"/>
  <c r="F9" i="6" s="1"/>
  <c r="C14" i="6"/>
  <c r="E14" i="6" s="1"/>
  <c r="G14" i="6" s="1"/>
  <c r="H5" i="3"/>
  <c r="E13" i="3"/>
  <c r="G13" i="3" s="1"/>
  <c r="E5" i="3"/>
  <c r="G5" i="3" s="1"/>
  <c r="B10" i="6"/>
  <c r="F10" i="6" s="1"/>
  <c r="C11" i="3"/>
  <c r="H11" i="3" s="1"/>
  <c r="E10" i="3"/>
  <c r="G10" i="3" s="1"/>
  <c r="D11" i="3"/>
  <c r="C7" i="3"/>
  <c r="H7" i="3" s="1"/>
  <c r="E14" i="3"/>
  <c r="G14" i="3" s="1"/>
  <c r="D9" i="6"/>
  <c r="D14" i="3"/>
  <c r="D7" i="3"/>
  <c r="B7" i="6"/>
  <c r="F7" i="6" s="1"/>
  <c r="C9" i="6"/>
  <c r="E9" i="6" s="1"/>
  <c r="G9" i="6" s="1"/>
  <c r="C13" i="6"/>
  <c r="E13" i="6" s="1"/>
  <c r="G13" i="6" s="1"/>
  <c r="D7" i="6"/>
  <c r="B13" i="6"/>
  <c r="F13" i="6" s="1"/>
  <c r="C7" i="6"/>
  <c r="E7" i="6" s="1"/>
  <c r="G7" i="6" s="1"/>
  <c r="D6" i="6"/>
  <c r="D13" i="6"/>
  <c r="C5" i="6"/>
  <c r="E5" i="6" s="1"/>
  <c r="G5" i="6" s="1"/>
  <c r="D11" i="6"/>
  <c r="B5" i="6"/>
  <c r="F5" i="6" s="1"/>
  <c r="C10" i="6"/>
  <c r="E10" i="6" s="1"/>
  <c r="G10" i="6" s="1"/>
  <c r="D14" i="6"/>
  <c r="C11" i="6"/>
  <c r="E11" i="6" s="1"/>
  <c r="G11" i="6" s="1"/>
  <c r="D4" i="6"/>
  <c r="B14" i="6"/>
  <c r="F14" i="6" s="1"/>
  <c r="B11" i="6"/>
  <c r="F11" i="6" s="1"/>
  <c r="C4" i="6"/>
  <c r="E4" i="6" s="1"/>
  <c r="G4" i="6" s="1"/>
  <c r="B4" i="6"/>
  <c r="F4" i="6" s="1"/>
  <c r="C6" i="6"/>
  <c r="E6" i="6" s="1"/>
  <c r="G6" i="6" s="1"/>
  <c r="D12" i="6"/>
  <c r="D8" i="6"/>
  <c r="B6" i="6"/>
  <c r="F6" i="6" s="1"/>
  <c r="C12" i="6"/>
  <c r="E12" i="6" s="1"/>
  <c r="G12" i="6" s="1"/>
  <c r="B12" i="6"/>
  <c r="F12" i="6" s="1"/>
  <c r="C8" i="6"/>
  <c r="E8" i="6" s="1"/>
  <c r="G8" i="6" s="1"/>
  <c r="D10" i="6"/>
  <c r="B8" i="6"/>
  <c r="F8" i="6" s="1"/>
  <c r="D5" i="6"/>
  <c r="E7" i="3"/>
  <c r="G7" i="3" s="1"/>
  <c r="E11" i="3"/>
  <c r="G11" i="3" s="1"/>
  <c r="C8" i="3"/>
  <c r="H8" i="3" s="1"/>
  <c r="C12" i="3"/>
  <c r="H12" i="3" s="1"/>
  <c r="D8" i="3"/>
  <c r="D12" i="3"/>
  <c r="E8" i="3"/>
  <c r="G8" i="3" s="1"/>
  <c r="E12" i="3"/>
  <c r="G12" i="3" s="1"/>
  <c r="C9" i="3"/>
  <c r="H9" i="3" s="1"/>
  <c r="C13" i="3"/>
  <c r="H13" i="3" s="1"/>
  <c r="D5" i="3"/>
  <c r="D9" i="3"/>
  <c r="D13" i="3"/>
  <c r="E9" i="3"/>
  <c r="G9" i="3" s="1"/>
  <c r="E6" i="3"/>
  <c r="G6" i="3" s="1"/>
  <c r="C10" i="3"/>
  <c r="H10" i="3" s="1"/>
  <c r="D6" i="3"/>
  <c r="D10" i="3"/>
  <c r="C14" i="3"/>
  <c r="H14" i="3" s="1"/>
  <c r="C6" i="3"/>
  <c r="H6" i="3" s="1"/>
  <c r="C3" i="3"/>
  <c r="H3" i="3" s="1"/>
  <c r="D3" i="3"/>
  <c r="D4" i="3"/>
  <c r="C4" i="3"/>
  <c r="H4" i="3" s="1"/>
  <c r="E4" i="3"/>
  <c r="G4" i="3" s="1"/>
  <c r="M64" i="2" l="1"/>
  <c r="AH18" i="3"/>
  <c r="C45" i="3"/>
  <c r="H4" i="6"/>
  <c r="S18" i="3"/>
  <c r="B45" i="3"/>
  <c r="Z18" i="3"/>
  <c r="C44" i="3"/>
  <c r="X86" i="7"/>
  <c r="AC86" i="7" s="1"/>
  <c r="E86" i="7" s="1"/>
  <c r="E146" i="7" s="1"/>
  <c r="AB61" i="7"/>
  <c r="AB76" i="7"/>
  <c r="AC76" i="7" s="1"/>
  <c r="E76" i="7" s="1"/>
  <c r="E136" i="7" s="1"/>
  <c r="B43" i="3"/>
  <c r="R18" i="3"/>
  <c r="C43" i="3"/>
  <c r="AC82" i="7"/>
  <c r="E82" i="7" s="1"/>
  <c r="E142" i="7" s="1"/>
  <c r="Z80" i="7"/>
  <c r="AC80" i="7" s="1"/>
  <c r="E80" i="7" s="1"/>
  <c r="E140" i="7" s="1"/>
  <c r="F46" i="7"/>
  <c r="X46" i="7"/>
  <c r="AC46" i="7" s="1"/>
  <c r="E46" i="7" s="1"/>
  <c r="E106" i="7" s="1"/>
  <c r="X56" i="7"/>
  <c r="AC56" i="7" s="1"/>
  <c r="E56" i="7" s="1"/>
  <c r="E116" i="7" s="1"/>
  <c r="AB85" i="7"/>
  <c r="AC85" i="7" s="1"/>
  <c r="E85" i="7" s="1"/>
  <c r="E145" i="7" s="1"/>
  <c r="AA18" i="3"/>
  <c r="D44" i="3"/>
  <c r="AI18" i="3"/>
  <c r="D45" i="3"/>
  <c r="AC67" i="7"/>
  <c r="E67" i="7" s="1"/>
  <c r="E127" i="7" s="1"/>
  <c r="B44" i="3"/>
  <c r="X52" i="7"/>
  <c r="AC52" i="7" s="1"/>
  <c r="E52" i="7" s="1"/>
  <c r="E112" i="7" s="1"/>
  <c r="AB70" i="7"/>
  <c r="AC70" i="7" s="1"/>
  <c r="E70" i="7" s="1"/>
  <c r="E130" i="7" s="1"/>
  <c r="X61" i="7"/>
  <c r="AC61" i="7" s="1"/>
  <c r="E61" i="7" s="1"/>
  <c r="E121" i="7" s="1"/>
  <c r="AC40" i="4"/>
  <c r="Z43" i="4"/>
  <c r="AB40" i="4"/>
  <c r="AA43" i="4"/>
  <c r="AK28" i="4"/>
  <c r="AK29" i="4"/>
  <c r="AI25" i="4"/>
  <c r="AI26" i="4" s="1"/>
  <c r="AI28" i="4" s="1"/>
  <c r="AJ25" i="4"/>
  <c r="AJ26" i="4" s="1"/>
  <c r="AJ28" i="4" s="1"/>
  <c r="AL17" i="4"/>
  <c r="U41" i="7"/>
  <c r="U48" i="7" s="1"/>
  <c r="H41" i="7"/>
  <c r="H53" i="7" s="1"/>
  <c r="AK15" i="4"/>
  <c r="N41" i="7"/>
  <c r="N68" i="7" s="1"/>
  <c r="AK16" i="4"/>
  <c r="AI15" i="4"/>
  <c r="AI19" i="4" s="1"/>
  <c r="F41" i="7"/>
  <c r="F82" i="7" s="1"/>
  <c r="J41" i="7"/>
  <c r="J70" i="7" s="1"/>
  <c r="AM15" i="4"/>
  <c r="I41" i="7"/>
  <c r="I78" i="7" s="1"/>
  <c r="AL15" i="4"/>
  <c r="M41" i="7"/>
  <c r="M69" i="7" s="1"/>
  <c r="AJ16" i="4"/>
  <c r="AJ17" i="4"/>
  <c r="S41" i="7"/>
  <c r="S49" i="7" s="1"/>
  <c r="G41" i="7"/>
  <c r="G69" i="7" s="1"/>
  <c r="AJ15" i="4"/>
  <c r="AM17" i="4"/>
  <c r="V41" i="7"/>
  <c r="V70" i="7" s="1"/>
  <c r="O41" i="7"/>
  <c r="O48" i="7" s="1"/>
  <c r="AL16" i="4"/>
  <c r="AI17" i="4"/>
  <c r="R41" i="7"/>
  <c r="R46" i="7" s="1"/>
  <c r="L41" i="7"/>
  <c r="L56" i="7" s="1"/>
  <c r="AI16" i="4"/>
  <c r="M10" i="2"/>
  <c r="P41" i="7"/>
  <c r="P82" i="7" s="1"/>
  <c r="AM16" i="4"/>
  <c r="AM36" i="4" s="1"/>
  <c r="Q37" i="2"/>
  <c r="Q54" i="2"/>
  <c r="M54" i="2"/>
  <c r="M47" i="2"/>
  <c r="M37" i="2"/>
  <c r="Q20" i="2"/>
  <c r="M20" i="2"/>
  <c r="M26" i="2"/>
  <c r="M14" i="2"/>
  <c r="M4" i="2"/>
  <c r="V4" i="7"/>
  <c r="T8" i="7"/>
  <c r="S8" i="7"/>
  <c r="W13" i="7"/>
  <c r="S98" i="6"/>
  <c r="AQ98" i="6" s="1"/>
  <c r="W6" i="7"/>
  <c r="M14" i="7"/>
  <c r="N7" i="7"/>
  <c r="O11" i="7"/>
  <c r="T11" i="7" s="1"/>
  <c r="W11" i="7" s="1"/>
  <c r="Q10" i="7"/>
  <c r="V10" i="7" s="1"/>
  <c r="O9" i="7"/>
  <c r="M10" i="7"/>
  <c r="R10" i="7" s="1"/>
  <c r="N12" i="7"/>
  <c r="O5" i="7"/>
  <c r="R4" i="7"/>
  <c r="R17" i="3"/>
  <c r="AG17" i="3"/>
  <c r="Y17" i="3"/>
  <c r="F8" i="3"/>
  <c r="I8" i="3" s="1"/>
  <c r="F4" i="3"/>
  <c r="I4" i="3" s="1"/>
  <c r="F5" i="3"/>
  <c r="I5" i="3" s="1"/>
  <c r="F3" i="3"/>
  <c r="I3" i="3" s="1"/>
  <c r="P4" i="3"/>
  <c r="S4" i="3" s="1"/>
  <c r="S17" i="3" s="1"/>
  <c r="AA17" i="3"/>
  <c r="F14" i="3"/>
  <c r="I14" i="3" s="1"/>
  <c r="F9" i="3"/>
  <c r="I9" i="3" s="1"/>
  <c r="Z17" i="3"/>
  <c r="Q17" i="3"/>
  <c r="F6" i="3"/>
  <c r="I6" i="3" s="1"/>
  <c r="P9" i="3"/>
  <c r="S9" i="3" s="1"/>
  <c r="S21" i="3" s="1"/>
  <c r="F11" i="3"/>
  <c r="I11" i="3" s="1"/>
  <c r="F7" i="3"/>
  <c r="I7" i="3" s="1"/>
  <c r="F13" i="3"/>
  <c r="I13" i="3" s="1"/>
  <c r="AH17" i="3"/>
  <c r="F10" i="3"/>
  <c r="I10" i="3" s="1"/>
  <c r="F12" i="3"/>
  <c r="I12" i="3" s="1"/>
  <c r="AI17" i="3"/>
  <c r="L117" i="6"/>
  <c r="AJ117" i="6" s="1"/>
  <c r="M117" i="6"/>
  <c r="AK117" i="6" s="1"/>
  <c r="N117" i="6"/>
  <c r="AL117" i="6" s="1"/>
  <c r="U117" i="6"/>
  <c r="AS117" i="6" s="1"/>
  <c r="V117" i="6"/>
  <c r="AT117" i="6" s="1"/>
  <c r="C117" i="6"/>
  <c r="AA117" i="6" s="1"/>
  <c r="O117" i="6"/>
  <c r="AM117" i="6" s="1"/>
  <c r="I117" i="6"/>
  <c r="AG117" i="6" s="1"/>
  <c r="D117" i="6"/>
  <c r="AB117" i="6" s="1"/>
  <c r="P117" i="6"/>
  <c r="AN117" i="6" s="1"/>
  <c r="J117" i="6"/>
  <c r="AH117" i="6" s="1"/>
  <c r="E117" i="6"/>
  <c r="AC117" i="6" s="1"/>
  <c r="Q117" i="6"/>
  <c r="AO117" i="6" s="1"/>
  <c r="F117" i="6"/>
  <c r="AD117" i="6" s="1"/>
  <c r="R117" i="6"/>
  <c r="AP117" i="6" s="1"/>
  <c r="G117" i="6"/>
  <c r="AE117" i="6" s="1"/>
  <c r="S117" i="6"/>
  <c r="AQ117" i="6" s="1"/>
  <c r="H117" i="6"/>
  <c r="AF117" i="6" s="1"/>
  <c r="T117" i="6"/>
  <c r="AR117" i="6" s="1"/>
  <c r="K117" i="6"/>
  <c r="AI117" i="6" s="1"/>
  <c r="W117" i="6"/>
  <c r="AU117" i="6" s="1"/>
  <c r="C114" i="6"/>
  <c r="AA114" i="6" s="1"/>
  <c r="O114" i="6"/>
  <c r="AM114" i="6" s="1"/>
  <c r="D114" i="6"/>
  <c r="AB114" i="6" s="1"/>
  <c r="P114" i="6"/>
  <c r="AN114" i="6" s="1"/>
  <c r="M114" i="6"/>
  <c r="AK114" i="6" s="1"/>
  <c r="E114" i="6"/>
  <c r="AC114" i="6" s="1"/>
  <c r="Q114" i="6"/>
  <c r="AO114" i="6" s="1"/>
  <c r="F114" i="6"/>
  <c r="AD114" i="6" s="1"/>
  <c r="R114" i="6"/>
  <c r="AP114" i="6" s="1"/>
  <c r="G114" i="6"/>
  <c r="AE114" i="6" s="1"/>
  <c r="S114" i="6"/>
  <c r="AQ114" i="6" s="1"/>
  <c r="H114" i="6"/>
  <c r="AF114" i="6" s="1"/>
  <c r="T114" i="6"/>
  <c r="AR114" i="6" s="1"/>
  <c r="I114" i="6"/>
  <c r="AG114" i="6" s="1"/>
  <c r="U114" i="6"/>
  <c r="AS114" i="6" s="1"/>
  <c r="J114" i="6"/>
  <c r="AH114" i="6" s="1"/>
  <c r="V114" i="6"/>
  <c r="AT114" i="6" s="1"/>
  <c r="K114" i="6"/>
  <c r="AI114" i="6" s="1"/>
  <c r="W114" i="6"/>
  <c r="AU114" i="6" s="1"/>
  <c r="L114" i="6"/>
  <c r="AJ114" i="6" s="1"/>
  <c r="N114" i="6"/>
  <c r="AL114" i="6" s="1"/>
  <c r="F123" i="6"/>
  <c r="AD123" i="6" s="1"/>
  <c r="R123" i="6"/>
  <c r="AP123" i="6" s="1"/>
  <c r="G123" i="6"/>
  <c r="AE123" i="6" s="1"/>
  <c r="S123" i="6"/>
  <c r="AQ123" i="6" s="1"/>
  <c r="P123" i="6"/>
  <c r="AN123" i="6" s="1"/>
  <c r="H123" i="6"/>
  <c r="AF123" i="6" s="1"/>
  <c r="T123" i="6"/>
  <c r="AR123" i="6" s="1"/>
  <c r="D123" i="6"/>
  <c r="AB123" i="6" s="1"/>
  <c r="I123" i="6"/>
  <c r="AG123" i="6" s="1"/>
  <c r="U123" i="6"/>
  <c r="AS123" i="6" s="1"/>
  <c r="J123" i="6"/>
  <c r="AH123" i="6" s="1"/>
  <c r="V123" i="6"/>
  <c r="AT123" i="6" s="1"/>
  <c r="K123" i="6"/>
  <c r="AI123" i="6" s="1"/>
  <c r="W123" i="6"/>
  <c r="AU123" i="6" s="1"/>
  <c r="O123" i="6"/>
  <c r="AM123" i="6" s="1"/>
  <c r="L123" i="6"/>
  <c r="AJ123" i="6" s="1"/>
  <c r="M123" i="6"/>
  <c r="AK123" i="6" s="1"/>
  <c r="N123" i="6"/>
  <c r="AL123" i="6" s="1"/>
  <c r="C123" i="6"/>
  <c r="AA123" i="6" s="1"/>
  <c r="E123" i="6"/>
  <c r="AC123" i="6" s="1"/>
  <c r="Q123" i="6"/>
  <c r="AO123" i="6" s="1"/>
  <c r="L121" i="6"/>
  <c r="AJ121" i="6" s="1"/>
  <c r="M121" i="6"/>
  <c r="AK121" i="6" s="1"/>
  <c r="N121" i="6"/>
  <c r="AL121" i="6" s="1"/>
  <c r="C121" i="6"/>
  <c r="AA121" i="6" s="1"/>
  <c r="O121" i="6"/>
  <c r="AM121" i="6" s="1"/>
  <c r="D121" i="6"/>
  <c r="AB121" i="6" s="1"/>
  <c r="P121" i="6"/>
  <c r="AN121" i="6" s="1"/>
  <c r="E121" i="6"/>
  <c r="AC121" i="6" s="1"/>
  <c r="Q121" i="6"/>
  <c r="AO121" i="6" s="1"/>
  <c r="F121" i="6"/>
  <c r="AD121" i="6" s="1"/>
  <c r="R121" i="6"/>
  <c r="AP121" i="6" s="1"/>
  <c r="I121" i="6"/>
  <c r="AG121" i="6" s="1"/>
  <c r="G121" i="6"/>
  <c r="AE121" i="6" s="1"/>
  <c r="S121" i="6"/>
  <c r="AQ121" i="6" s="1"/>
  <c r="U121" i="6"/>
  <c r="AS121" i="6" s="1"/>
  <c r="J121" i="6"/>
  <c r="AH121" i="6" s="1"/>
  <c r="H121" i="6"/>
  <c r="AF121" i="6" s="1"/>
  <c r="T121" i="6"/>
  <c r="AR121" i="6" s="1"/>
  <c r="K121" i="6"/>
  <c r="AI121" i="6" s="1"/>
  <c r="W121" i="6"/>
  <c r="AU121" i="6" s="1"/>
  <c r="V121" i="6"/>
  <c r="AT121" i="6" s="1"/>
  <c r="M113" i="6"/>
  <c r="AK113" i="6" s="1"/>
  <c r="N113" i="6"/>
  <c r="AL113" i="6" s="1"/>
  <c r="O113" i="6"/>
  <c r="AM113" i="6" s="1"/>
  <c r="D113" i="6"/>
  <c r="AB113" i="6" s="1"/>
  <c r="P113" i="6"/>
  <c r="AN113" i="6" s="1"/>
  <c r="E113" i="6"/>
  <c r="AC113" i="6" s="1"/>
  <c r="Q113" i="6"/>
  <c r="AO113" i="6" s="1"/>
  <c r="F113" i="6"/>
  <c r="AD113" i="6" s="1"/>
  <c r="R113" i="6"/>
  <c r="AP113" i="6" s="1"/>
  <c r="G113" i="6"/>
  <c r="AE113" i="6" s="1"/>
  <c r="S113" i="6"/>
  <c r="AQ113" i="6" s="1"/>
  <c r="H113" i="6"/>
  <c r="AF113" i="6" s="1"/>
  <c r="T113" i="6"/>
  <c r="AR113" i="6" s="1"/>
  <c r="V113" i="6"/>
  <c r="AT113" i="6" s="1"/>
  <c r="K113" i="6"/>
  <c r="AI113" i="6" s="1"/>
  <c r="I113" i="6"/>
  <c r="AG113" i="6" s="1"/>
  <c r="U113" i="6"/>
  <c r="AS113" i="6" s="1"/>
  <c r="W113" i="6"/>
  <c r="AU113" i="6" s="1"/>
  <c r="L113" i="6"/>
  <c r="AJ113" i="6" s="1"/>
  <c r="C113" i="6"/>
  <c r="AA113" i="6" s="1"/>
  <c r="J113" i="6"/>
  <c r="AH113" i="6" s="1"/>
  <c r="F119" i="6"/>
  <c r="AD119" i="6" s="1"/>
  <c r="R119" i="6"/>
  <c r="AP119" i="6" s="1"/>
  <c r="C119" i="6"/>
  <c r="AA119" i="6" s="1"/>
  <c r="G119" i="6"/>
  <c r="AE119" i="6" s="1"/>
  <c r="S119" i="6"/>
  <c r="AQ119" i="6" s="1"/>
  <c r="H119" i="6"/>
  <c r="AF119" i="6" s="1"/>
  <c r="T119" i="6"/>
  <c r="AR119" i="6" s="1"/>
  <c r="I119" i="6"/>
  <c r="AG119" i="6" s="1"/>
  <c r="U119" i="6"/>
  <c r="AS119" i="6" s="1"/>
  <c r="D119" i="6"/>
  <c r="AB119" i="6" s="1"/>
  <c r="J119" i="6"/>
  <c r="AH119" i="6" s="1"/>
  <c r="V119" i="6"/>
  <c r="AT119" i="6" s="1"/>
  <c r="P119" i="6"/>
  <c r="AN119" i="6" s="1"/>
  <c r="K119" i="6"/>
  <c r="AI119" i="6" s="1"/>
  <c r="W119" i="6"/>
  <c r="AU119" i="6" s="1"/>
  <c r="L119" i="6"/>
  <c r="AJ119" i="6" s="1"/>
  <c r="M119" i="6"/>
  <c r="AK119" i="6" s="1"/>
  <c r="N119" i="6"/>
  <c r="AL119" i="6" s="1"/>
  <c r="E119" i="6"/>
  <c r="AC119" i="6" s="1"/>
  <c r="Q119" i="6"/>
  <c r="AO119" i="6" s="1"/>
  <c r="O119" i="6"/>
  <c r="AM119" i="6" s="1"/>
  <c r="C122" i="6"/>
  <c r="AA122" i="6" s="1"/>
  <c r="O122" i="6"/>
  <c r="AM122" i="6" s="1"/>
  <c r="D122" i="6"/>
  <c r="AB122" i="6" s="1"/>
  <c r="P122" i="6"/>
  <c r="AN122" i="6" s="1"/>
  <c r="E122" i="6"/>
  <c r="AC122" i="6" s="1"/>
  <c r="Q122" i="6"/>
  <c r="AO122" i="6" s="1"/>
  <c r="F122" i="6"/>
  <c r="AD122" i="6" s="1"/>
  <c r="R122" i="6"/>
  <c r="AP122" i="6" s="1"/>
  <c r="G122" i="6"/>
  <c r="AE122" i="6" s="1"/>
  <c r="S122" i="6"/>
  <c r="AQ122" i="6" s="1"/>
  <c r="H122" i="6"/>
  <c r="AF122" i="6" s="1"/>
  <c r="T122" i="6"/>
  <c r="AR122" i="6" s="1"/>
  <c r="I122" i="6"/>
  <c r="AG122" i="6" s="1"/>
  <c r="U122" i="6"/>
  <c r="AS122" i="6" s="1"/>
  <c r="M122" i="6"/>
  <c r="AK122" i="6" s="1"/>
  <c r="J122" i="6"/>
  <c r="AH122" i="6" s="1"/>
  <c r="V122" i="6"/>
  <c r="AT122" i="6" s="1"/>
  <c r="K122" i="6"/>
  <c r="AI122" i="6" s="1"/>
  <c r="W122" i="6"/>
  <c r="AU122" i="6" s="1"/>
  <c r="N122" i="6"/>
  <c r="AL122" i="6" s="1"/>
  <c r="L122" i="6"/>
  <c r="AJ122" i="6" s="1"/>
  <c r="C118" i="6"/>
  <c r="AA118" i="6" s="1"/>
  <c r="O118" i="6"/>
  <c r="AM118" i="6" s="1"/>
  <c r="D118" i="6"/>
  <c r="AB118" i="6" s="1"/>
  <c r="P118" i="6"/>
  <c r="AN118" i="6" s="1"/>
  <c r="E118" i="6"/>
  <c r="AC118" i="6" s="1"/>
  <c r="Q118" i="6"/>
  <c r="AO118" i="6" s="1"/>
  <c r="F118" i="6"/>
  <c r="AD118" i="6" s="1"/>
  <c r="R118" i="6"/>
  <c r="AP118" i="6" s="1"/>
  <c r="G118" i="6"/>
  <c r="AE118" i="6" s="1"/>
  <c r="S118" i="6"/>
  <c r="AQ118" i="6" s="1"/>
  <c r="H118" i="6"/>
  <c r="AF118" i="6" s="1"/>
  <c r="T118" i="6"/>
  <c r="AR118" i="6" s="1"/>
  <c r="I118" i="6"/>
  <c r="AG118" i="6" s="1"/>
  <c r="U118" i="6"/>
  <c r="AS118" i="6" s="1"/>
  <c r="J118" i="6"/>
  <c r="AH118" i="6" s="1"/>
  <c r="V118" i="6"/>
  <c r="AT118" i="6" s="1"/>
  <c r="K118" i="6"/>
  <c r="AI118" i="6" s="1"/>
  <c r="W118" i="6"/>
  <c r="AU118" i="6" s="1"/>
  <c r="M118" i="6"/>
  <c r="AK118" i="6" s="1"/>
  <c r="N118" i="6"/>
  <c r="AL118" i="6" s="1"/>
  <c r="L118" i="6"/>
  <c r="AJ118" i="6" s="1"/>
  <c r="F115" i="6"/>
  <c r="AD115" i="6" s="1"/>
  <c r="R115" i="6"/>
  <c r="AP115" i="6" s="1"/>
  <c r="P115" i="6"/>
  <c r="AN115" i="6" s="1"/>
  <c r="G115" i="6"/>
  <c r="AE115" i="6" s="1"/>
  <c r="S115" i="6"/>
  <c r="AQ115" i="6" s="1"/>
  <c r="H115" i="6"/>
  <c r="AF115" i="6" s="1"/>
  <c r="T115" i="6"/>
  <c r="AR115" i="6" s="1"/>
  <c r="I115" i="6"/>
  <c r="AG115" i="6" s="1"/>
  <c r="U115" i="6"/>
  <c r="AS115" i="6" s="1"/>
  <c r="J115" i="6"/>
  <c r="AH115" i="6" s="1"/>
  <c r="V115" i="6"/>
  <c r="AT115" i="6" s="1"/>
  <c r="K115" i="6"/>
  <c r="AI115" i="6" s="1"/>
  <c r="W115" i="6"/>
  <c r="AU115" i="6" s="1"/>
  <c r="L115" i="6"/>
  <c r="AJ115" i="6" s="1"/>
  <c r="O115" i="6"/>
  <c r="AM115" i="6" s="1"/>
  <c r="M115" i="6"/>
  <c r="AK115" i="6" s="1"/>
  <c r="C115" i="6"/>
  <c r="AA115" i="6" s="1"/>
  <c r="D115" i="6"/>
  <c r="AB115" i="6" s="1"/>
  <c r="N115" i="6"/>
  <c r="AL115" i="6" s="1"/>
  <c r="E115" i="6"/>
  <c r="AC115" i="6" s="1"/>
  <c r="Q115" i="6"/>
  <c r="AO115" i="6" s="1"/>
  <c r="I116" i="6"/>
  <c r="AG116" i="6" s="1"/>
  <c r="U116" i="6"/>
  <c r="AS116" i="6" s="1"/>
  <c r="J116" i="6"/>
  <c r="AH116" i="6" s="1"/>
  <c r="V116" i="6"/>
  <c r="AT116" i="6" s="1"/>
  <c r="K116" i="6"/>
  <c r="AI116" i="6" s="1"/>
  <c r="W116" i="6"/>
  <c r="AU116" i="6" s="1"/>
  <c r="L116" i="6"/>
  <c r="AJ116" i="6" s="1"/>
  <c r="M116" i="6"/>
  <c r="AK116" i="6" s="1"/>
  <c r="R116" i="6"/>
  <c r="AP116" i="6" s="1"/>
  <c r="N116" i="6"/>
  <c r="AL116" i="6" s="1"/>
  <c r="F116" i="6"/>
  <c r="AD116" i="6" s="1"/>
  <c r="C116" i="6"/>
  <c r="AA116" i="6" s="1"/>
  <c r="O116" i="6"/>
  <c r="AM116" i="6" s="1"/>
  <c r="G116" i="6"/>
  <c r="AE116" i="6" s="1"/>
  <c r="D116" i="6"/>
  <c r="AB116" i="6" s="1"/>
  <c r="P116" i="6"/>
  <c r="AN116" i="6" s="1"/>
  <c r="E116" i="6"/>
  <c r="AC116" i="6" s="1"/>
  <c r="Q116" i="6"/>
  <c r="AO116" i="6" s="1"/>
  <c r="H116" i="6"/>
  <c r="AF116" i="6" s="1"/>
  <c r="T116" i="6"/>
  <c r="AR116" i="6" s="1"/>
  <c r="S116" i="6"/>
  <c r="AQ116" i="6" s="1"/>
  <c r="I124" i="6"/>
  <c r="AG124" i="6" s="1"/>
  <c r="U124" i="6"/>
  <c r="AS124" i="6" s="1"/>
  <c r="F124" i="6"/>
  <c r="AD124" i="6" s="1"/>
  <c r="J124" i="6"/>
  <c r="AH124" i="6" s="1"/>
  <c r="V124" i="6"/>
  <c r="AT124" i="6" s="1"/>
  <c r="K124" i="6"/>
  <c r="AI124" i="6" s="1"/>
  <c r="W124" i="6"/>
  <c r="AU124" i="6" s="1"/>
  <c r="L124" i="6"/>
  <c r="AJ124" i="6" s="1"/>
  <c r="S124" i="6"/>
  <c r="AQ124" i="6" s="1"/>
  <c r="M124" i="6"/>
  <c r="AK124" i="6" s="1"/>
  <c r="G124" i="6"/>
  <c r="AE124" i="6" s="1"/>
  <c r="N124" i="6"/>
  <c r="AL124" i="6" s="1"/>
  <c r="C124" i="6"/>
  <c r="AA124" i="6" s="1"/>
  <c r="O124" i="6"/>
  <c r="AM124" i="6" s="1"/>
  <c r="R124" i="6"/>
  <c r="AP124" i="6" s="1"/>
  <c r="D124" i="6"/>
  <c r="AB124" i="6" s="1"/>
  <c r="P124" i="6"/>
  <c r="AN124" i="6" s="1"/>
  <c r="E124" i="6"/>
  <c r="AC124" i="6" s="1"/>
  <c r="Q124" i="6"/>
  <c r="AO124" i="6" s="1"/>
  <c r="H124" i="6"/>
  <c r="AF124" i="6" s="1"/>
  <c r="T124" i="6"/>
  <c r="AR124" i="6" s="1"/>
  <c r="I120" i="6"/>
  <c r="AG120" i="6" s="1"/>
  <c r="U120" i="6"/>
  <c r="AS120" i="6" s="1"/>
  <c r="R120" i="6"/>
  <c r="AP120" i="6" s="1"/>
  <c r="S120" i="6"/>
  <c r="AQ120" i="6" s="1"/>
  <c r="J120" i="6"/>
  <c r="AH120" i="6" s="1"/>
  <c r="V120" i="6"/>
  <c r="AT120" i="6" s="1"/>
  <c r="K120" i="6"/>
  <c r="AI120" i="6" s="1"/>
  <c r="W120" i="6"/>
  <c r="AU120" i="6" s="1"/>
  <c r="L120" i="6"/>
  <c r="AJ120" i="6" s="1"/>
  <c r="M120" i="6"/>
  <c r="AK120" i="6" s="1"/>
  <c r="G120" i="6"/>
  <c r="AE120" i="6" s="1"/>
  <c r="N120" i="6"/>
  <c r="AL120" i="6" s="1"/>
  <c r="C120" i="6"/>
  <c r="AA120" i="6" s="1"/>
  <c r="O120" i="6"/>
  <c r="AM120" i="6" s="1"/>
  <c r="D120" i="6"/>
  <c r="AB120" i="6" s="1"/>
  <c r="P120" i="6"/>
  <c r="AN120" i="6" s="1"/>
  <c r="E120" i="6"/>
  <c r="AC120" i="6" s="1"/>
  <c r="Q120" i="6"/>
  <c r="AO120" i="6" s="1"/>
  <c r="H120" i="6"/>
  <c r="AF120" i="6" s="1"/>
  <c r="T120" i="6"/>
  <c r="AR120" i="6" s="1"/>
  <c r="F120" i="6"/>
  <c r="AD120" i="6" s="1"/>
  <c r="D76" i="6"/>
  <c r="P76" i="6"/>
  <c r="O76" i="6"/>
  <c r="E76" i="6"/>
  <c r="Q76" i="6"/>
  <c r="F76" i="6"/>
  <c r="R76" i="6"/>
  <c r="M76" i="6"/>
  <c r="G76" i="6"/>
  <c r="S76" i="6"/>
  <c r="H76" i="6"/>
  <c r="T76" i="6"/>
  <c r="I76" i="6"/>
  <c r="U76" i="6"/>
  <c r="C76" i="6"/>
  <c r="J76" i="6"/>
  <c r="V76" i="6"/>
  <c r="K76" i="6"/>
  <c r="W76" i="6"/>
  <c r="L76" i="6"/>
  <c r="N76" i="6"/>
  <c r="H68" i="6"/>
  <c r="T68" i="6"/>
  <c r="G68" i="6"/>
  <c r="I68" i="6"/>
  <c r="U68" i="6"/>
  <c r="C68" i="6"/>
  <c r="J68" i="6"/>
  <c r="V68" i="6"/>
  <c r="Q68" i="6"/>
  <c r="K68" i="6"/>
  <c r="W68" i="6"/>
  <c r="L68" i="6"/>
  <c r="M68" i="6"/>
  <c r="N68" i="6"/>
  <c r="F68" i="6"/>
  <c r="O68" i="6"/>
  <c r="E68" i="6"/>
  <c r="D68" i="6"/>
  <c r="P68" i="6"/>
  <c r="R68" i="6"/>
  <c r="S68" i="6"/>
  <c r="L72" i="6"/>
  <c r="V72" i="6"/>
  <c r="W72" i="6"/>
  <c r="M72" i="6"/>
  <c r="N72" i="6"/>
  <c r="K72" i="6"/>
  <c r="O72" i="6"/>
  <c r="D72" i="6"/>
  <c r="P72" i="6"/>
  <c r="E72" i="6"/>
  <c r="Q72" i="6"/>
  <c r="C72" i="6"/>
  <c r="F72" i="6"/>
  <c r="R72" i="6"/>
  <c r="J72" i="6"/>
  <c r="G72" i="6"/>
  <c r="S72" i="6"/>
  <c r="I72" i="6"/>
  <c r="H72" i="6"/>
  <c r="T72" i="6"/>
  <c r="U72" i="6"/>
  <c r="H77" i="6"/>
  <c r="T77" i="6"/>
  <c r="R77" i="6"/>
  <c r="I77" i="6"/>
  <c r="U77" i="6"/>
  <c r="J77" i="6"/>
  <c r="V77" i="6"/>
  <c r="K77" i="6"/>
  <c r="W77" i="6"/>
  <c r="F77" i="6"/>
  <c r="L77" i="6"/>
  <c r="M77" i="6"/>
  <c r="G77" i="6"/>
  <c r="N77" i="6"/>
  <c r="O77" i="6"/>
  <c r="Q77" i="6"/>
  <c r="C77" i="6"/>
  <c r="S77" i="6"/>
  <c r="D77" i="6"/>
  <c r="P77" i="6"/>
  <c r="E77" i="6"/>
  <c r="D67" i="6"/>
  <c r="P67" i="6"/>
  <c r="N67" i="6"/>
  <c r="E67" i="6"/>
  <c r="Q67" i="6"/>
  <c r="F67" i="6"/>
  <c r="R67" i="6"/>
  <c r="G67" i="6"/>
  <c r="S67" i="6"/>
  <c r="H67" i="6"/>
  <c r="T67" i="6"/>
  <c r="I67" i="6"/>
  <c r="U67" i="6"/>
  <c r="J67" i="6"/>
  <c r="V67" i="6"/>
  <c r="O67" i="6"/>
  <c r="K67" i="6"/>
  <c r="W67" i="6"/>
  <c r="L67" i="6"/>
  <c r="M67" i="6"/>
  <c r="D73" i="6"/>
  <c r="P73" i="6"/>
  <c r="E73" i="6"/>
  <c r="Q73" i="6"/>
  <c r="F73" i="6"/>
  <c r="R73" i="6"/>
  <c r="N73" i="6"/>
  <c r="G73" i="6"/>
  <c r="S73" i="6"/>
  <c r="H73" i="6"/>
  <c r="T73" i="6"/>
  <c r="I73" i="6"/>
  <c r="U73" i="6"/>
  <c r="J73" i="6"/>
  <c r="V73" i="6"/>
  <c r="C73" i="6"/>
  <c r="K73" i="6"/>
  <c r="W73" i="6"/>
  <c r="L73" i="6"/>
  <c r="M73" i="6"/>
  <c r="O73" i="6"/>
  <c r="L69" i="6"/>
  <c r="M69" i="6"/>
  <c r="N69" i="6"/>
  <c r="C69" i="6"/>
  <c r="J69" i="6"/>
  <c r="K69" i="6"/>
  <c r="O69" i="6"/>
  <c r="U69" i="6"/>
  <c r="W69" i="6"/>
  <c r="D69" i="6"/>
  <c r="P69" i="6"/>
  <c r="E69" i="6"/>
  <c r="Q69" i="6"/>
  <c r="I69" i="6"/>
  <c r="F69" i="6"/>
  <c r="R69" i="6"/>
  <c r="G69" i="6"/>
  <c r="S69" i="6"/>
  <c r="V69" i="6"/>
  <c r="H69" i="6"/>
  <c r="T69" i="6"/>
  <c r="D70" i="6"/>
  <c r="P70" i="6"/>
  <c r="E70" i="6"/>
  <c r="Q70" i="6"/>
  <c r="F70" i="6"/>
  <c r="R70" i="6"/>
  <c r="G70" i="6"/>
  <c r="S70" i="6"/>
  <c r="C70" i="6"/>
  <c r="N70" i="6"/>
  <c r="H70" i="6"/>
  <c r="T70" i="6"/>
  <c r="M70" i="6"/>
  <c r="I70" i="6"/>
  <c r="U70" i="6"/>
  <c r="O70" i="6"/>
  <c r="J70" i="6"/>
  <c r="V70" i="6"/>
  <c r="K70" i="6"/>
  <c r="W70" i="6"/>
  <c r="L70" i="6"/>
  <c r="L78" i="6"/>
  <c r="C78" i="6"/>
  <c r="M78" i="6"/>
  <c r="N78" i="6"/>
  <c r="I78" i="6"/>
  <c r="V78" i="6"/>
  <c r="W78" i="6"/>
  <c r="O78" i="6"/>
  <c r="D78" i="6"/>
  <c r="P78" i="6"/>
  <c r="E78" i="6"/>
  <c r="Q78" i="6"/>
  <c r="F78" i="6"/>
  <c r="R78" i="6"/>
  <c r="J78" i="6"/>
  <c r="K78" i="6"/>
  <c r="G78" i="6"/>
  <c r="S78" i="6"/>
  <c r="H78" i="6"/>
  <c r="T78" i="6"/>
  <c r="U78" i="6"/>
  <c r="H74" i="6"/>
  <c r="T74" i="6"/>
  <c r="I74" i="6"/>
  <c r="U74" i="6"/>
  <c r="J74" i="6"/>
  <c r="V74" i="6"/>
  <c r="E74" i="6"/>
  <c r="S74" i="6"/>
  <c r="K74" i="6"/>
  <c r="W74" i="6"/>
  <c r="L74" i="6"/>
  <c r="M74" i="6"/>
  <c r="N74" i="6"/>
  <c r="R74" i="6"/>
  <c r="G74" i="6"/>
  <c r="O74" i="6"/>
  <c r="C74" i="6"/>
  <c r="Q74" i="6"/>
  <c r="D74" i="6"/>
  <c r="P74" i="6"/>
  <c r="F74" i="6"/>
  <c r="L75" i="6"/>
  <c r="J75" i="6"/>
  <c r="M75" i="6"/>
  <c r="N75" i="6"/>
  <c r="V75" i="6"/>
  <c r="O75" i="6"/>
  <c r="K75" i="6"/>
  <c r="D75" i="6"/>
  <c r="P75" i="6"/>
  <c r="E75" i="6"/>
  <c r="Q75" i="6"/>
  <c r="F75" i="6"/>
  <c r="R75" i="6"/>
  <c r="G75" i="6"/>
  <c r="S75" i="6"/>
  <c r="U75" i="6"/>
  <c r="H75" i="6"/>
  <c r="T75" i="6"/>
  <c r="C75" i="6"/>
  <c r="I75" i="6"/>
  <c r="W75" i="6"/>
  <c r="H71" i="6"/>
  <c r="T71" i="6"/>
  <c r="I71" i="6"/>
  <c r="U71" i="6"/>
  <c r="R71" i="6"/>
  <c r="S71" i="6"/>
  <c r="J71" i="6"/>
  <c r="V71" i="6"/>
  <c r="K71" i="6"/>
  <c r="W71" i="6"/>
  <c r="L71" i="6"/>
  <c r="C71" i="6"/>
  <c r="M71" i="6"/>
  <c r="F71" i="6"/>
  <c r="N71" i="6"/>
  <c r="E71" i="6"/>
  <c r="O71" i="6"/>
  <c r="G71" i="6"/>
  <c r="D71" i="6"/>
  <c r="P71" i="6"/>
  <c r="Q71" i="6"/>
  <c r="C52" i="6"/>
  <c r="W98" i="6"/>
  <c r="AU98" i="6" s="1"/>
  <c r="G98" i="6"/>
  <c r="AE98" i="6" s="1"/>
  <c r="K98" i="6"/>
  <c r="AI98" i="6" s="1"/>
  <c r="L98" i="6"/>
  <c r="AJ98" i="6" s="1"/>
  <c r="I98" i="6"/>
  <c r="AG98" i="6" s="1"/>
  <c r="Q98" i="6"/>
  <c r="AO98" i="6" s="1"/>
  <c r="E98" i="6"/>
  <c r="AC98" i="6" s="1"/>
  <c r="U98" i="6"/>
  <c r="AS98" i="6" s="1"/>
  <c r="N98" i="6"/>
  <c r="AL98" i="6" s="1"/>
  <c r="F98" i="6"/>
  <c r="AD98" i="6" s="1"/>
  <c r="J98" i="6"/>
  <c r="AH98" i="6" s="1"/>
  <c r="O98" i="6"/>
  <c r="AM98" i="6" s="1"/>
  <c r="R98" i="6"/>
  <c r="AP98" i="6" s="1"/>
  <c r="V98" i="6"/>
  <c r="AT98" i="6" s="1"/>
  <c r="C98" i="6"/>
  <c r="AA98" i="6" s="1"/>
  <c r="D98" i="6"/>
  <c r="AB98" i="6" s="1"/>
  <c r="O101" i="6"/>
  <c r="AM101" i="6" s="1"/>
  <c r="H101" i="6"/>
  <c r="AF101" i="6" s="1"/>
  <c r="M101" i="6"/>
  <c r="AK101" i="6" s="1"/>
  <c r="D101" i="6"/>
  <c r="AB101" i="6" s="1"/>
  <c r="P101" i="6"/>
  <c r="AN101" i="6" s="1"/>
  <c r="E101" i="6"/>
  <c r="AC101" i="6" s="1"/>
  <c r="Q101" i="6"/>
  <c r="AO101" i="6" s="1"/>
  <c r="F101" i="6"/>
  <c r="AD101" i="6" s="1"/>
  <c r="R101" i="6"/>
  <c r="AP101" i="6" s="1"/>
  <c r="C101" i="6"/>
  <c r="AA101" i="6" s="1"/>
  <c r="G101" i="6"/>
  <c r="AE101" i="6" s="1"/>
  <c r="S101" i="6"/>
  <c r="AQ101" i="6" s="1"/>
  <c r="T101" i="6"/>
  <c r="AR101" i="6" s="1"/>
  <c r="I101" i="6"/>
  <c r="AG101" i="6" s="1"/>
  <c r="U101" i="6"/>
  <c r="AS101" i="6" s="1"/>
  <c r="J101" i="6"/>
  <c r="AH101" i="6" s="1"/>
  <c r="V101" i="6"/>
  <c r="AT101" i="6" s="1"/>
  <c r="K101" i="6"/>
  <c r="AI101" i="6" s="1"/>
  <c r="W101" i="6"/>
  <c r="AU101" i="6" s="1"/>
  <c r="L101" i="6"/>
  <c r="AJ101" i="6" s="1"/>
  <c r="N101" i="6"/>
  <c r="AL101" i="6" s="1"/>
  <c r="E138" i="6"/>
  <c r="AC138" i="6" s="1"/>
  <c r="Q138" i="6"/>
  <c r="AO138" i="6" s="1"/>
  <c r="F138" i="6"/>
  <c r="AD138" i="6" s="1"/>
  <c r="R138" i="6"/>
  <c r="AP138" i="6" s="1"/>
  <c r="J138" i="6"/>
  <c r="AH138" i="6" s="1"/>
  <c r="G138" i="6"/>
  <c r="AE138" i="6" s="1"/>
  <c r="S138" i="6"/>
  <c r="AQ138" i="6" s="1"/>
  <c r="H138" i="6"/>
  <c r="AF138" i="6" s="1"/>
  <c r="T138" i="6"/>
  <c r="AR138" i="6" s="1"/>
  <c r="I138" i="6"/>
  <c r="AG138" i="6" s="1"/>
  <c r="U138" i="6"/>
  <c r="AS138" i="6" s="1"/>
  <c r="K138" i="6"/>
  <c r="AI138" i="6" s="1"/>
  <c r="W138" i="6"/>
  <c r="AU138" i="6" s="1"/>
  <c r="O138" i="6"/>
  <c r="AM138" i="6" s="1"/>
  <c r="L138" i="6"/>
  <c r="AJ138" i="6" s="1"/>
  <c r="M138" i="6"/>
  <c r="AK138" i="6" s="1"/>
  <c r="C138" i="6"/>
  <c r="AA138" i="6" s="1"/>
  <c r="N138" i="6"/>
  <c r="AL138" i="6" s="1"/>
  <c r="D138" i="6"/>
  <c r="AB138" i="6" s="1"/>
  <c r="P138" i="6"/>
  <c r="AN138" i="6" s="1"/>
  <c r="V138" i="6"/>
  <c r="AT138" i="6" s="1"/>
  <c r="C63" i="6"/>
  <c r="K109" i="6"/>
  <c r="AI109" i="6" s="1"/>
  <c r="W109" i="6"/>
  <c r="AU109" i="6" s="1"/>
  <c r="P109" i="6"/>
  <c r="AN109" i="6" s="1"/>
  <c r="L109" i="6"/>
  <c r="AJ109" i="6" s="1"/>
  <c r="M109" i="6"/>
  <c r="AK109" i="6" s="1"/>
  <c r="N109" i="6"/>
  <c r="AL109" i="6" s="1"/>
  <c r="O109" i="6"/>
  <c r="AM109" i="6" s="1"/>
  <c r="E109" i="6"/>
  <c r="AC109" i="6" s="1"/>
  <c r="Q109" i="6"/>
  <c r="AO109" i="6" s="1"/>
  <c r="F109" i="6"/>
  <c r="AD109" i="6" s="1"/>
  <c r="R109" i="6"/>
  <c r="AP109" i="6" s="1"/>
  <c r="G109" i="6"/>
  <c r="AE109" i="6" s="1"/>
  <c r="S109" i="6"/>
  <c r="AQ109" i="6" s="1"/>
  <c r="U109" i="6"/>
  <c r="AS109" i="6" s="1"/>
  <c r="H109" i="6"/>
  <c r="AF109" i="6" s="1"/>
  <c r="T109" i="6"/>
  <c r="AR109" i="6" s="1"/>
  <c r="I109" i="6"/>
  <c r="AG109" i="6" s="1"/>
  <c r="J109" i="6"/>
  <c r="AH109" i="6" s="1"/>
  <c r="V109" i="6"/>
  <c r="AT109" i="6" s="1"/>
  <c r="C109" i="6"/>
  <c r="AA109" i="6" s="1"/>
  <c r="D109" i="6"/>
  <c r="AB109" i="6" s="1"/>
  <c r="K103" i="6"/>
  <c r="AI103" i="6" s="1"/>
  <c r="W103" i="6"/>
  <c r="AU103" i="6" s="1"/>
  <c r="L103" i="6"/>
  <c r="AJ103" i="6" s="1"/>
  <c r="M103" i="6"/>
  <c r="AK103" i="6" s="1"/>
  <c r="P103" i="6"/>
  <c r="AN103" i="6" s="1"/>
  <c r="C103" i="6"/>
  <c r="AA103" i="6" s="1"/>
  <c r="U103" i="6"/>
  <c r="AS103" i="6" s="1"/>
  <c r="N103" i="6"/>
  <c r="AL103" i="6" s="1"/>
  <c r="O103" i="6"/>
  <c r="AM103" i="6" s="1"/>
  <c r="D103" i="6"/>
  <c r="AB103" i="6" s="1"/>
  <c r="E103" i="6"/>
  <c r="AC103" i="6" s="1"/>
  <c r="Q103" i="6"/>
  <c r="AO103" i="6" s="1"/>
  <c r="I103" i="6"/>
  <c r="AG103" i="6" s="1"/>
  <c r="F103" i="6"/>
  <c r="AD103" i="6" s="1"/>
  <c r="R103" i="6"/>
  <c r="AP103" i="6" s="1"/>
  <c r="G103" i="6"/>
  <c r="AE103" i="6" s="1"/>
  <c r="S103" i="6"/>
  <c r="AQ103" i="6" s="1"/>
  <c r="H103" i="6"/>
  <c r="AF103" i="6" s="1"/>
  <c r="T103" i="6"/>
  <c r="AR103" i="6" s="1"/>
  <c r="J103" i="6"/>
  <c r="AH103" i="6" s="1"/>
  <c r="V103" i="6"/>
  <c r="AT103" i="6" s="1"/>
  <c r="K106" i="6"/>
  <c r="AI106" i="6" s="1"/>
  <c r="W106" i="6"/>
  <c r="AU106" i="6" s="1"/>
  <c r="L106" i="6"/>
  <c r="AJ106" i="6" s="1"/>
  <c r="M106" i="6"/>
  <c r="AK106" i="6" s="1"/>
  <c r="P106" i="6"/>
  <c r="AN106" i="6" s="1"/>
  <c r="N106" i="6"/>
  <c r="AL106" i="6" s="1"/>
  <c r="O106" i="6"/>
  <c r="AM106" i="6" s="1"/>
  <c r="D106" i="6"/>
  <c r="AB106" i="6" s="1"/>
  <c r="E106" i="6"/>
  <c r="AC106" i="6" s="1"/>
  <c r="Q106" i="6"/>
  <c r="AO106" i="6" s="1"/>
  <c r="U106" i="6"/>
  <c r="AS106" i="6" s="1"/>
  <c r="F106" i="6"/>
  <c r="AD106" i="6" s="1"/>
  <c r="R106" i="6"/>
  <c r="AP106" i="6" s="1"/>
  <c r="I106" i="6"/>
  <c r="AG106" i="6" s="1"/>
  <c r="G106" i="6"/>
  <c r="AE106" i="6" s="1"/>
  <c r="S106" i="6"/>
  <c r="AQ106" i="6" s="1"/>
  <c r="C106" i="6"/>
  <c r="AA106" i="6" s="1"/>
  <c r="H106" i="6"/>
  <c r="AF106" i="6" s="1"/>
  <c r="T106" i="6"/>
  <c r="AR106" i="6" s="1"/>
  <c r="J106" i="6"/>
  <c r="AH106" i="6" s="1"/>
  <c r="V106" i="6"/>
  <c r="AT106" i="6" s="1"/>
  <c r="L128" i="6"/>
  <c r="AJ128" i="6" s="1"/>
  <c r="C128" i="6"/>
  <c r="AA128" i="6" s="1"/>
  <c r="Q128" i="6"/>
  <c r="AO128" i="6" s="1"/>
  <c r="M128" i="6"/>
  <c r="AK128" i="6" s="1"/>
  <c r="N128" i="6"/>
  <c r="AL128" i="6" s="1"/>
  <c r="O128" i="6"/>
  <c r="AM128" i="6" s="1"/>
  <c r="D128" i="6"/>
  <c r="AB128" i="6" s="1"/>
  <c r="P128" i="6"/>
  <c r="AN128" i="6" s="1"/>
  <c r="E128" i="6"/>
  <c r="AC128" i="6" s="1"/>
  <c r="F128" i="6"/>
  <c r="AD128" i="6" s="1"/>
  <c r="R128" i="6"/>
  <c r="AP128" i="6" s="1"/>
  <c r="V128" i="6"/>
  <c r="AT128" i="6" s="1"/>
  <c r="G128" i="6"/>
  <c r="AE128" i="6" s="1"/>
  <c r="S128" i="6"/>
  <c r="AQ128" i="6" s="1"/>
  <c r="J128" i="6"/>
  <c r="AH128" i="6" s="1"/>
  <c r="H128" i="6"/>
  <c r="AF128" i="6" s="1"/>
  <c r="T128" i="6"/>
  <c r="AR128" i="6" s="1"/>
  <c r="I128" i="6"/>
  <c r="AG128" i="6" s="1"/>
  <c r="U128" i="6"/>
  <c r="AS128" i="6" s="1"/>
  <c r="K128" i="6"/>
  <c r="AI128" i="6" s="1"/>
  <c r="W128" i="6"/>
  <c r="AU128" i="6" s="1"/>
  <c r="G102" i="6"/>
  <c r="AE102" i="6" s="1"/>
  <c r="S102" i="6"/>
  <c r="AQ102" i="6" s="1"/>
  <c r="H102" i="6"/>
  <c r="AF102" i="6" s="1"/>
  <c r="T102" i="6"/>
  <c r="AR102" i="6" s="1"/>
  <c r="L102" i="6"/>
  <c r="AJ102" i="6" s="1"/>
  <c r="I102" i="6"/>
  <c r="AG102" i="6" s="1"/>
  <c r="U102" i="6"/>
  <c r="AS102" i="6" s="1"/>
  <c r="J102" i="6"/>
  <c r="AH102" i="6" s="1"/>
  <c r="V102" i="6"/>
  <c r="AT102" i="6" s="1"/>
  <c r="K102" i="6"/>
  <c r="AI102" i="6" s="1"/>
  <c r="W102" i="6"/>
  <c r="AU102" i="6" s="1"/>
  <c r="C102" i="6"/>
  <c r="AA102" i="6" s="1"/>
  <c r="M102" i="6"/>
  <c r="AK102" i="6" s="1"/>
  <c r="N102" i="6"/>
  <c r="AL102" i="6" s="1"/>
  <c r="Q102" i="6"/>
  <c r="AO102" i="6" s="1"/>
  <c r="O102" i="6"/>
  <c r="AM102" i="6" s="1"/>
  <c r="D102" i="6"/>
  <c r="AB102" i="6" s="1"/>
  <c r="P102" i="6"/>
  <c r="AN102" i="6" s="1"/>
  <c r="E102" i="6"/>
  <c r="AC102" i="6" s="1"/>
  <c r="F102" i="6"/>
  <c r="AD102" i="6" s="1"/>
  <c r="R102" i="6"/>
  <c r="AP102" i="6" s="1"/>
  <c r="H131" i="6"/>
  <c r="AF131" i="6" s="1"/>
  <c r="T131" i="6"/>
  <c r="AR131" i="6" s="1"/>
  <c r="M131" i="6"/>
  <c r="AK131" i="6" s="1"/>
  <c r="R131" i="6"/>
  <c r="AP131" i="6" s="1"/>
  <c r="I131" i="6"/>
  <c r="AG131" i="6" s="1"/>
  <c r="U131" i="6"/>
  <c r="AS131" i="6" s="1"/>
  <c r="J131" i="6"/>
  <c r="AH131" i="6" s="1"/>
  <c r="V131" i="6"/>
  <c r="AT131" i="6" s="1"/>
  <c r="K131" i="6"/>
  <c r="AI131" i="6" s="1"/>
  <c r="W131" i="6"/>
  <c r="AU131" i="6" s="1"/>
  <c r="L131" i="6"/>
  <c r="AJ131" i="6" s="1"/>
  <c r="N131" i="6"/>
  <c r="AL131" i="6" s="1"/>
  <c r="F131" i="6"/>
  <c r="AD131" i="6" s="1"/>
  <c r="C131" i="6"/>
  <c r="AA131" i="6" s="1"/>
  <c r="O131" i="6"/>
  <c r="AM131" i="6" s="1"/>
  <c r="D131" i="6"/>
  <c r="AB131" i="6" s="1"/>
  <c r="P131" i="6"/>
  <c r="AN131" i="6" s="1"/>
  <c r="E131" i="6"/>
  <c r="AC131" i="6" s="1"/>
  <c r="Q131" i="6"/>
  <c r="AO131" i="6" s="1"/>
  <c r="G131" i="6"/>
  <c r="AE131" i="6" s="1"/>
  <c r="S131" i="6"/>
  <c r="AQ131" i="6" s="1"/>
  <c r="H139" i="6"/>
  <c r="AF139" i="6" s="1"/>
  <c r="T139" i="6"/>
  <c r="AR139" i="6" s="1"/>
  <c r="I139" i="6"/>
  <c r="AG139" i="6" s="1"/>
  <c r="U139" i="6"/>
  <c r="AS139" i="6" s="1"/>
  <c r="J139" i="6"/>
  <c r="AH139" i="6" s="1"/>
  <c r="V139" i="6"/>
  <c r="AT139" i="6" s="1"/>
  <c r="M139" i="6"/>
  <c r="AK139" i="6" s="1"/>
  <c r="K139" i="6"/>
  <c r="AI139" i="6" s="1"/>
  <c r="W139" i="6"/>
  <c r="AU139" i="6" s="1"/>
  <c r="L139" i="6"/>
  <c r="AJ139" i="6" s="1"/>
  <c r="N139" i="6"/>
  <c r="AL139" i="6" s="1"/>
  <c r="C139" i="6"/>
  <c r="AA139" i="6" s="1"/>
  <c r="O139" i="6"/>
  <c r="AM139" i="6" s="1"/>
  <c r="D139" i="6"/>
  <c r="AB139" i="6" s="1"/>
  <c r="P139" i="6"/>
  <c r="AN139" i="6" s="1"/>
  <c r="R139" i="6"/>
  <c r="AP139" i="6" s="1"/>
  <c r="E139" i="6"/>
  <c r="AC139" i="6" s="1"/>
  <c r="Q139" i="6"/>
  <c r="AO139" i="6" s="1"/>
  <c r="F139" i="6"/>
  <c r="AD139" i="6" s="1"/>
  <c r="G139" i="6"/>
  <c r="AE139" i="6" s="1"/>
  <c r="S139" i="6"/>
  <c r="AQ139" i="6" s="1"/>
  <c r="C53" i="6"/>
  <c r="G99" i="6"/>
  <c r="AE99" i="6" s="1"/>
  <c r="S99" i="6"/>
  <c r="AQ99" i="6" s="1"/>
  <c r="H99" i="6"/>
  <c r="AF99" i="6" s="1"/>
  <c r="T99" i="6"/>
  <c r="AR99" i="6" s="1"/>
  <c r="C99" i="6"/>
  <c r="AA99" i="6" s="1"/>
  <c r="I99" i="6"/>
  <c r="AG99" i="6" s="1"/>
  <c r="U99" i="6"/>
  <c r="AS99" i="6" s="1"/>
  <c r="J99" i="6"/>
  <c r="AH99" i="6" s="1"/>
  <c r="V99" i="6"/>
  <c r="AT99" i="6" s="1"/>
  <c r="K99" i="6"/>
  <c r="AI99" i="6" s="1"/>
  <c r="W99" i="6"/>
  <c r="AU99" i="6" s="1"/>
  <c r="L99" i="6"/>
  <c r="AJ99" i="6" s="1"/>
  <c r="Q99" i="6"/>
  <c r="AO99" i="6" s="1"/>
  <c r="M99" i="6"/>
  <c r="AK99" i="6" s="1"/>
  <c r="N99" i="6"/>
  <c r="AL99" i="6" s="1"/>
  <c r="O99" i="6"/>
  <c r="AM99" i="6" s="1"/>
  <c r="D99" i="6"/>
  <c r="AB99" i="6" s="1"/>
  <c r="P99" i="6"/>
  <c r="AN99" i="6" s="1"/>
  <c r="E99" i="6"/>
  <c r="AC99" i="6" s="1"/>
  <c r="F99" i="6"/>
  <c r="AD99" i="6" s="1"/>
  <c r="R99" i="6"/>
  <c r="AP99" i="6" s="1"/>
  <c r="K136" i="6"/>
  <c r="AI136" i="6" s="1"/>
  <c r="W136" i="6"/>
  <c r="AU136" i="6" s="1"/>
  <c r="D136" i="6"/>
  <c r="AB136" i="6" s="1"/>
  <c r="L136" i="6"/>
  <c r="AJ136" i="6" s="1"/>
  <c r="M136" i="6"/>
  <c r="AK136" i="6" s="1"/>
  <c r="N136" i="6"/>
  <c r="AL136" i="6" s="1"/>
  <c r="C136" i="6"/>
  <c r="AA136" i="6" s="1"/>
  <c r="O136" i="6"/>
  <c r="AM136" i="6" s="1"/>
  <c r="E136" i="6"/>
  <c r="AC136" i="6" s="1"/>
  <c r="Q136" i="6"/>
  <c r="AO136" i="6" s="1"/>
  <c r="F136" i="6"/>
  <c r="AD136" i="6" s="1"/>
  <c r="R136" i="6"/>
  <c r="AP136" i="6" s="1"/>
  <c r="G136" i="6"/>
  <c r="AE136" i="6" s="1"/>
  <c r="S136" i="6"/>
  <c r="AQ136" i="6" s="1"/>
  <c r="I136" i="6"/>
  <c r="AG136" i="6" s="1"/>
  <c r="H136" i="6"/>
  <c r="AF136" i="6" s="1"/>
  <c r="T136" i="6"/>
  <c r="AR136" i="6" s="1"/>
  <c r="U136" i="6"/>
  <c r="AS136" i="6" s="1"/>
  <c r="J136" i="6"/>
  <c r="AH136" i="6" s="1"/>
  <c r="V136" i="6"/>
  <c r="AT136" i="6" s="1"/>
  <c r="P136" i="6"/>
  <c r="AN136" i="6" s="1"/>
  <c r="N137" i="6"/>
  <c r="AL137" i="6" s="1"/>
  <c r="C137" i="6"/>
  <c r="AA137" i="6" s="1"/>
  <c r="O137" i="6"/>
  <c r="AM137" i="6" s="1"/>
  <c r="D137" i="6"/>
  <c r="AB137" i="6" s="1"/>
  <c r="P137" i="6"/>
  <c r="AN137" i="6" s="1"/>
  <c r="E137" i="6"/>
  <c r="AC137" i="6" s="1"/>
  <c r="Q137" i="6"/>
  <c r="AO137" i="6" s="1"/>
  <c r="F137" i="6"/>
  <c r="AD137" i="6" s="1"/>
  <c r="R137" i="6"/>
  <c r="AP137" i="6" s="1"/>
  <c r="S137" i="6"/>
  <c r="AQ137" i="6" s="1"/>
  <c r="G137" i="6"/>
  <c r="AE137" i="6" s="1"/>
  <c r="H137" i="6"/>
  <c r="AF137" i="6" s="1"/>
  <c r="T137" i="6"/>
  <c r="AR137" i="6" s="1"/>
  <c r="L137" i="6"/>
  <c r="AJ137" i="6" s="1"/>
  <c r="I137" i="6"/>
  <c r="AG137" i="6" s="1"/>
  <c r="U137" i="6"/>
  <c r="AS137" i="6" s="1"/>
  <c r="J137" i="6"/>
  <c r="AH137" i="6" s="1"/>
  <c r="V137" i="6"/>
  <c r="AT137" i="6" s="1"/>
  <c r="K137" i="6"/>
  <c r="AI137" i="6" s="1"/>
  <c r="W137" i="6"/>
  <c r="AU137" i="6" s="1"/>
  <c r="M137" i="6"/>
  <c r="AK137" i="6" s="1"/>
  <c r="K132" i="6"/>
  <c r="AI132" i="6" s="1"/>
  <c r="W132" i="6"/>
  <c r="AU132" i="6" s="1"/>
  <c r="L132" i="6"/>
  <c r="AJ132" i="6" s="1"/>
  <c r="M132" i="6"/>
  <c r="AK132" i="6" s="1"/>
  <c r="D132" i="6"/>
  <c r="AB132" i="6" s="1"/>
  <c r="I132" i="6"/>
  <c r="AG132" i="6" s="1"/>
  <c r="N132" i="6"/>
  <c r="AL132" i="6" s="1"/>
  <c r="C132" i="6"/>
  <c r="AA132" i="6" s="1"/>
  <c r="O132" i="6"/>
  <c r="AM132" i="6" s="1"/>
  <c r="E132" i="6"/>
  <c r="AC132" i="6" s="1"/>
  <c r="Q132" i="6"/>
  <c r="AO132" i="6" s="1"/>
  <c r="U132" i="6"/>
  <c r="AS132" i="6" s="1"/>
  <c r="F132" i="6"/>
  <c r="AD132" i="6" s="1"/>
  <c r="R132" i="6"/>
  <c r="AP132" i="6" s="1"/>
  <c r="G132" i="6"/>
  <c r="AE132" i="6" s="1"/>
  <c r="S132" i="6"/>
  <c r="AQ132" i="6" s="1"/>
  <c r="H132" i="6"/>
  <c r="AF132" i="6" s="1"/>
  <c r="T132" i="6"/>
  <c r="AR132" i="6" s="1"/>
  <c r="J132" i="6"/>
  <c r="AH132" i="6" s="1"/>
  <c r="V132" i="6"/>
  <c r="AT132" i="6" s="1"/>
  <c r="P132" i="6"/>
  <c r="AN132" i="6" s="1"/>
  <c r="G105" i="6"/>
  <c r="AE105" i="6" s="1"/>
  <c r="S105" i="6"/>
  <c r="AQ105" i="6" s="1"/>
  <c r="H105" i="6"/>
  <c r="AF105" i="6" s="1"/>
  <c r="T105" i="6"/>
  <c r="AR105" i="6" s="1"/>
  <c r="E105" i="6"/>
  <c r="AC105" i="6" s="1"/>
  <c r="I105" i="6"/>
  <c r="AG105" i="6" s="1"/>
  <c r="U105" i="6"/>
  <c r="AS105" i="6" s="1"/>
  <c r="J105" i="6"/>
  <c r="AH105" i="6" s="1"/>
  <c r="V105" i="6"/>
  <c r="AT105" i="6" s="1"/>
  <c r="K105" i="6"/>
  <c r="AI105" i="6" s="1"/>
  <c r="W105" i="6"/>
  <c r="AU105" i="6" s="1"/>
  <c r="L105" i="6"/>
  <c r="AJ105" i="6" s="1"/>
  <c r="M105" i="6"/>
  <c r="AK105" i="6" s="1"/>
  <c r="N105" i="6"/>
  <c r="AL105" i="6" s="1"/>
  <c r="C105" i="6"/>
  <c r="AA105" i="6" s="1"/>
  <c r="O105" i="6"/>
  <c r="AM105" i="6" s="1"/>
  <c r="D105" i="6"/>
  <c r="AB105" i="6" s="1"/>
  <c r="P105" i="6"/>
  <c r="AN105" i="6" s="1"/>
  <c r="Q105" i="6"/>
  <c r="AO105" i="6" s="1"/>
  <c r="F105" i="6"/>
  <c r="AD105" i="6" s="1"/>
  <c r="R105" i="6"/>
  <c r="AP105" i="6" s="1"/>
  <c r="N133" i="6"/>
  <c r="AL133" i="6" s="1"/>
  <c r="C133" i="6"/>
  <c r="AA133" i="6" s="1"/>
  <c r="O133" i="6"/>
  <c r="AM133" i="6" s="1"/>
  <c r="S133" i="6"/>
  <c r="AQ133" i="6" s="1"/>
  <c r="L133" i="6"/>
  <c r="AJ133" i="6" s="1"/>
  <c r="D133" i="6"/>
  <c r="AB133" i="6" s="1"/>
  <c r="P133" i="6"/>
  <c r="AN133" i="6" s="1"/>
  <c r="E133" i="6"/>
  <c r="AC133" i="6" s="1"/>
  <c r="Q133" i="6"/>
  <c r="AO133" i="6" s="1"/>
  <c r="F133" i="6"/>
  <c r="AD133" i="6" s="1"/>
  <c r="R133" i="6"/>
  <c r="AP133" i="6" s="1"/>
  <c r="G133" i="6"/>
  <c r="AE133" i="6" s="1"/>
  <c r="H133" i="6"/>
  <c r="AF133" i="6" s="1"/>
  <c r="T133" i="6"/>
  <c r="AR133" i="6" s="1"/>
  <c r="I133" i="6"/>
  <c r="AG133" i="6" s="1"/>
  <c r="U133" i="6"/>
  <c r="AS133" i="6" s="1"/>
  <c r="J133" i="6"/>
  <c r="AH133" i="6" s="1"/>
  <c r="V133" i="6"/>
  <c r="AT133" i="6" s="1"/>
  <c r="K133" i="6"/>
  <c r="AI133" i="6" s="1"/>
  <c r="W133" i="6"/>
  <c r="AU133" i="6" s="1"/>
  <c r="M133" i="6"/>
  <c r="AK133" i="6" s="1"/>
  <c r="H135" i="6"/>
  <c r="AF135" i="6" s="1"/>
  <c r="T135" i="6"/>
  <c r="AR135" i="6" s="1"/>
  <c r="I135" i="6"/>
  <c r="AG135" i="6" s="1"/>
  <c r="U135" i="6"/>
  <c r="AS135" i="6" s="1"/>
  <c r="J135" i="6"/>
  <c r="AH135" i="6" s="1"/>
  <c r="V135" i="6"/>
  <c r="AT135" i="6" s="1"/>
  <c r="M135" i="6"/>
  <c r="AK135" i="6" s="1"/>
  <c r="K135" i="6"/>
  <c r="AI135" i="6" s="1"/>
  <c r="W135" i="6"/>
  <c r="AU135" i="6" s="1"/>
  <c r="L135" i="6"/>
  <c r="AJ135" i="6" s="1"/>
  <c r="N135" i="6"/>
  <c r="AL135" i="6" s="1"/>
  <c r="F135" i="6"/>
  <c r="AD135" i="6" s="1"/>
  <c r="R135" i="6"/>
  <c r="AP135" i="6" s="1"/>
  <c r="C135" i="6"/>
  <c r="AA135" i="6" s="1"/>
  <c r="O135" i="6"/>
  <c r="AM135" i="6" s="1"/>
  <c r="D135" i="6"/>
  <c r="AB135" i="6" s="1"/>
  <c r="P135" i="6"/>
  <c r="AN135" i="6" s="1"/>
  <c r="E135" i="6"/>
  <c r="AC135" i="6" s="1"/>
  <c r="Q135" i="6"/>
  <c r="AO135" i="6" s="1"/>
  <c r="G135" i="6"/>
  <c r="AE135" i="6" s="1"/>
  <c r="S135" i="6"/>
  <c r="AQ135" i="6" s="1"/>
  <c r="E130" i="6"/>
  <c r="AC130" i="6" s="1"/>
  <c r="Q130" i="6"/>
  <c r="AO130" i="6" s="1"/>
  <c r="F130" i="6"/>
  <c r="AD130" i="6" s="1"/>
  <c r="R130" i="6"/>
  <c r="AP130" i="6" s="1"/>
  <c r="J130" i="6"/>
  <c r="AH130" i="6" s="1"/>
  <c r="G130" i="6"/>
  <c r="AE130" i="6" s="1"/>
  <c r="S130" i="6"/>
  <c r="AQ130" i="6" s="1"/>
  <c r="H130" i="6"/>
  <c r="AF130" i="6" s="1"/>
  <c r="T130" i="6"/>
  <c r="AR130" i="6" s="1"/>
  <c r="I130" i="6"/>
  <c r="AG130" i="6" s="1"/>
  <c r="U130" i="6"/>
  <c r="AS130" i="6" s="1"/>
  <c r="V130" i="6"/>
  <c r="AT130" i="6" s="1"/>
  <c r="K130" i="6"/>
  <c r="AI130" i="6" s="1"/>
  <c r="W130" i="6"/>
  <c r="AU130" i="6" s="1"/>
  <c r="L130" i="6"/>
  <c r="AJ130" i="6" s="1"/>
  <c r="O130" i="6"/>
  <c r="AM130" i="6" s="1"/>
  <c r="M130" i="6"/>
  <c r="AK130" i="6" s="1"/>
  <c r="C130" i="6"/>
  <c r="AA130" i="6" s="1"/>
  <c r="N130" i="6"/>
  <c r="AL130" i="6" s="1"/>
  <c r="D130" i="6"/>
  <c r="AB130" i="6" s="1"/>
  <c r="P130" i="6"/>
  <c r="AN130" i="6" s="1"/>
  <c r="N129" i="6"/>
  <c r="AL129" i="6" s="1"/>
  <c r="C129" i="6"/>
  <c r="AA129" i="6" s="1"/>
  <c r="O129" i="6"/>
  <c r="AM129" i="6" s="1"/>
  <c r="D129" i="6"/>
  <c r="AB129" i="6" s="1"/>
  <c r="P129" i="6"/>
  <c r="AN129" i="6" s="1"/>
  <c r="G129" i="6"/>
  <c r="AE129" i="6" s="1"/>
  <c r="E129" i="6"/>
  <c r="AC129" i="6" s="1"/>
  <c r="Q129" i="6"/>
  <c r="AO129" i="6" s="1"/>
  <c r="F129" i="6"/>
  <c r="AD129" i="6" s="1"/>
  <c r="R129" i="6"/>
  <c r="AP129" i="6" s="1"/>
  <c r="L129" i="6"/>
  <c r="AJ129" i="6" s="1"/>
  <c r="H129" i="6"/>
  <c r="AF129" i="6" s="1"/>
  <c r="T129" i="6"/>
  <c r="AR129" i="6" s="1"/>
  <c r="I129" i="6"/>
  <c r="AG129" i="6" s="1"/>
  <c r="U129" i="6"/>
  <c r="AS129" i="6" s="1"/>
  <c r="J129" i="6"/>
  <c r="AH129" i="6" s="1"/>
  <c r="V129" i="6"/>
  <c r="AT129" i="6" s="1"/>
  <c r="K129" i="6"/>
  <c r="AI129" i="6" s="1"/>
  <c r="W129" i="6"/>
  <c r="AU129" i="6" s="1"/>
  <c r="M129" i="6"/>
  <c r="AK129" i="6" s="1"/>
  <c r="S129" i="6"/>
  <c r="AQ129" i="6" s="1"/>
  <c r="G108" i="6"/>
  <c r="AE108" i="6" s="1"/>
  <c r="S108" i="6"/>
  <c r="AQ108" i="6" s="1"/>
  <c r="E108" i="6"/>
  <c r="AC108" i="6" s="1"/>
  <c r="H108" i="6"/>
  <c r="AF108" i="6" s="1"/>
  <c r="T108" i="6"/>
  <c r="AR108" i="6" s="1"/>
  <c r="I108" i="6"/>
  <c r="AG108" i="6" s="1"/>
  <c r="U108" i="6"/>
  <c r="AS108" i="6" s="1"/>
  <c r="J108" i="6"/>
  <c r="AH108" i="6" s="1"/>
  <c r="V108" i="6"/>
  <c r="AT108" i="6" s="1"/>
  <c r="K108" i="6"/>
  <c r="AI108" i="6" s="1"/>
  <c r="W108" i="6"/>
  <c r="AU108" i="6" s="1"/>
  <c r="L108" i="6"/>
  <c r="AJ108" i="6" s="1"/>
  <c r="M108" i="6"/>
  <c r="AK108" i="6" s="1"/>
  <c r="C108" i="6"/>
  <c r="AA108" i="6" s="1"/>
  <c r="N108" i="6"/>
  <c r="AL108" i="6" s="1"/>
  <c r="O108" i="6"/>
  <c r="AM108" i="6" s="1"/>
  <c r="D108" i="6"/>
  <c r="AB108" i="6" s="1"/>
  <c r="P108" i="6"/>
  <c r="AN108" i="6" s="1"/>
  <c r="F108" i="6"/>
  <c r="AD108" i="6" s="1"/>
  <c r="R108" i="6"/>
  <c r="AP108" i="6" s="1"/>
  <c r="Q108" i="6"/>
  <c r="AO108" i="6" s="1"/>
  <c r="K100" i="6"/>
  <c r="AI100" i="6" s="1"/>
  <c r="W100" i="6"/>
  <c r="AU100" i="6" s="1"/>
  <c r="L100" i="6"/>
  <c r="AJ100" i="6" s="1"/>
  <c r="M100" i="6"/>
  <c r="AK100" i="6" s="1"/>
  <c r="C100" i="6"/>
  <c r="AA100" i="6" s="1"/>
  <c r="P100" i="6"/>
  <c r="AN100" i="6" s="1"/>
  <c r="N100" i="6"/>
  <c r="AL100" i="6" s="1"/>
  <c r="D100" i="6"/>
  <c r="AB100" i="6" s="1"/>
  <c r="O100" i="6"/>
  <c r="AM100" i="6" s="1"/>
  <c r="E100" i="6"/>
  <c r="AC100" i="6" s="1"/>
  <c r="Q100" i="6"/>
  <c r="AO100" i="6" s="1"/>
  <c r="F100" i="6"/>
  <c r="AD100" i="6" s="1"/>
  <c r="R100" i="6"/>
  <c r="AP100" i="6" s="1"/>
  <c r="G100" i="6"/>
  <c r="AE100" i="6" s="1"/>
  <c r="S100" i="6"/>
  <c r="AQ100" i="6" s="1"/>
  <c r="I100" i="6"/>
  <c r="AG100" i="6" s="1"/>
  <c r="H100" i="6"/>
  <c r="AF100" i="6" s="1"/>
  <c r="T100" i="6"/>
  <c r="AR100" i="6" s="1"/>
  <c r="J100" i="6"/>
  <c r="AH100" i="6" s="1"/>
  <c r="V100" i="6"/>
  <c r="AT100" i="6" s="1"/>
  <c r="U100" i="6"/>
  <c r="AS100" i="6" s="1"/>
  <c r="E134" i="6"/>
  <c r="AC134" i="6" s="1"/>
  <c r="Q134" i="6"/>
  <c r="AO134" i="6" s="1"/>
  <c r="F134" i="6"/>
  <c r="AD134" i="6" s="1"/>
  <c r="R134" i="6"/>
  <c r="AP134" i="6" s="1"/>
  <c r="G134" i="6"/>
  <c r="AE134" i="6" s="1"/>
  <c r="S134" i="6"/>
  <c r="AQ134" i="6" s="1"/>
  <c r="H134" i="6"/>
  <c r="AF134" i="6" s="1"/>
  <c r="T134" i="6"/>
  <c r="AR134" i="6" s="1"/>
  <c r="I134" i="6"/>
  <c r="AG134" i="6" s="1"/>
  <c r="U134" i="6"/>
  <c r="AS134" i="6" s="1"/>
  <c r="V134" i="6"/>
  <c r="AT134" i="6" s="1"/>
  <c r="K134" i="6"/>
  <c r="AI134" i="6" s="1"/>
  <c r="W134" i="6"/>
  <c r="AU134" i="6" s="1"/>
  <c r="L134" i="6"/>
  <c r="AJ134" i="6" s="1"/>
  <c r="M134" i="6"/>
  <c r="AK134" i="6" s="1"/>
  <c r="O134" i="6"/>
  <c r="AM134" i="6" s="1"/>
  <c r="N134" i="6"/>
  <c r="AL134" i="6" s="1"/>
  <c r="C134" i="6"/>
  <c r="AA134" i="6" s="1"/>
  <c r="D134" i="6"/>
  <c r="AB134" i="6" s="1"/>
  <c r="P134" i="6"/>
  <c r="AN134" i="6" s="1"/>
  <c r="J134" i="6"/>
  <c r="AH134" i="6" s="1"/>
  <c r="O104" i="6"/>
  <c r="AM104" i="6" s="1"/>
  <c r="H104" i="6"/>
  <c r="AF104" i="6" s="1"/>
  <c r="D104" i="6"/>
  <c r="AB104" i="6" s="1"/>
  <c r="P104" i="6"/>
  <c r="AN104" i="6" s="1"/>
  <c r="E104" i="6"/>
  <c r="AC104" i="6" s="1"/>
  <c r="Q104" i="6"/>
  <c r="AO104" i="6" s="1"/>
  <c r="F104" i="6"/>
  <c r="AD104" i="6" s="1"/>
  <c r="R104" i="6"/>
  <c r="AP104" i="6" s="1"/>
  <c r="G104" i="6"/>
  <c r="AE104" i="6" s="1"/>
  <c r="S104" i="6"/>
  <c r="AQ104" i="6" s="1"/>
  <c r="I104" i="6"/>
  <c r="AG104" i="6" s="1"/>
  <c r="U104" i="6"/>
  <c r="AS104" i="6" s="1"/>
  <c r="C104" i="6"/>
  <c r="AA104" i="6" s="1"/>
  <c r="J104" i="6"/>
  <c r="AH104" i="6" s="1"/>
  <c r="V104" i="6"/>
  <c r="AT104" i="6" s="1"/>
  <c r="K104" i="6"/>
  <c r="AI104" i="6" s="1"/>
  <c r="W104" i="6"/>
  <c r="AU104" i="6" s="1"/>
  <c r="M104" i="6"/>
  <c r="AK104" i="6" s="1"/>
  <c r="L104" i="6"/>
  <c r="AJ104" i="6" s="1"/>
  <c r="N104" i="6"/>
  <c r="AL104" i="6" s="1"/>
  <c r="T104" i="6"/>
  <c r="AR104" i="6" s="1"/>
  <c r="K52" i="6"/>
  <c r="M98" i="6"/>
  <c r="AK98" i="6" s="1"/>
  <c r="H98" i="6"/>
  <c r="AF98" i="6" s="1"/>
  <c r="O107" i="6"/>
  <c r="AM107" i="6" s="1"/>
  <c r="H107" i="6"/>
  <c r="AF107" i="6" s="1"/>
  <c r="D107" i="6"/>
  <c r="AB107" i="6" s="1"/>
  <c r="P107" i="6"/>
  <c r="AN107" i="6" s="1"/>
  <c r="T107" i="6"/>
  <c r="AR107" i="6" s="1"/>
  <c r="E107" i="6"/>
  <c r="AC107" i="6" s="1"/>
  <c r="Q107" i="6"/>
  <c r="AO107" i="6" s="1"/>
  <c r="F107" i="6"/>
  <c r="AD107" i="6" s="1"/>
  <c r="R107" i="6"/>
  <c r="AP107" i="6" s="1"/>
  <c r="G107" i="6"/>
  <c r="AE107" i="6" s="1"/>
  <c r="S107" i="6"/>
  <c r="AQ107" i="6" s="1"/>
  <c r="M107" i="6"/>
  <c r="AK107" i="6" s="1"/>
  <c r="I107" i="6"/>
  <c r="AG107" i="6" s="1"/>
  <c r="U107" i="6"/>
  <c r="AS107" i="6" s="1"/>
  <c r="J107" i="6"/>
  <c r="AH107" i="6" s="1"/>
  <c r="V107" i="6"/>
  <c r="AT107" i="6" s="1"/>
  <c r="K107" i="6"/>
  <c r="AI107" i="6" s="1"/>
  <c r="W107" i="6"/>
  <c r="AU107" i="6" s="1"/>
  <c r="L107" i="6"/>
  <c r="AJ107" i="6" s="1"/>
  <c r="C107" i="6"/>
  <c r="AA107" i="6" s="1"/>
  <c r="N107" i="6"/>
  <c r="AL107" i="6" s="1"/>
  <c r="P98" i="6"/>
  <c r="AN98" i="6" s="1"/>
  <c r="T98" i="6"/>
  <c r="AR98" i="6" s="1"/>
  <c r="D88" i="6"/>
  <c r="P88" i="6"/>
  <c r="F88" i="6"/>
  <c r="E88" i="6"/>
  <c r="Q88" i="6"/>
  <c r="R88" i="6"/>
  <c r="G88" i="6"/>
  <c r="S88" i="6"/>
  <c r="H88" i="6"/>
  <c r="T88" i="6"/>
  <c r="I88" i="6"/>
  <c r="U88" i="6"/>
  <c r="C88" i="6"/>
  <c r="W88" i="6"/>
  <c r="J88" i="6"/>
  <c r="V88" i="6"/>
  <c r="K88" i="6"/>
  <c r="L88" i="6"/>
  <c r="M88" i="6"/>
  <c r="N88" i="6"/>
  <c r="O88" i="6"/>
  <c r="L87" i="6"/>
  <c r="M87" i="6"/>
  <c r="O87" i="6"/>
  <c r="D87" i="6"/>
  <c r="P87" i="6"/>
  <c r="C87" i="6"/>
  <c r="E87" i="6"/>
  <c r="Q87" i="6"/>
  <c r="S87" i="6"/>
  <c r="F87" i="6"/>
  <c r="R87" i="6"/>
  <c r="G87" i="6"/>
  <c r="H87" i="6"/>
  <c r="T87" i="6"/>
  <c r="I87" i="6"/>
  <c r="U87" i="6"/>
  <c r="J87" i="6"/>
  <c r="V87" i="6"/>
  <c r="N87" i="6"/>
  <c r="K87" i="6"/>
  <c r="W87" i="6"/>
  <c r="H89" i="6"/>
  <c r="T89" i="6"/>
  <c r="I89" i="6"/>
  <c r="U89" i="6"/>
  <c r="V89" i="6"/>
  <c r="K89" i="6"/>
  <c r="W89" i="6"/>
  <c r="L89" i="6"/>
  <c r="M89" i="6"/>
  <c r="N89" i="6"/>
  <c r="C89" i="6"/>
  <c r="O89" i="6"/>
  <c r="D89" i="6"/>
  <c r="P89" i="6"/>
  <c r="E89" i="6"/>
  <c r="Q89" i="6"/>
  <c r="J89" i="6"/>
  <c r="F89" i="6"/>
  <c r="R89" i="6"/>
  <c r="G89" i="6"/>
  <c r="S89" i="6"/>
  <c r="H83" i="6"/>
  <c r="T83" i="6"/>
  <c r="C83" i="6"/>
  <c r="I83" i="6"/>
  <c r="U83" i="6"/>
  <c r="J83" i="6"/>
  <c r="V83" i="6"/>
  <c r="K83" i="6"/>
  <c r="W83" i="6"/>
  <c r="L83" i="6"/>
  <c r="M83" i="6"/>
  <c r="O83" i="6"/>
  <c r="N83" i="6"/>
  <c r="D83" i="6"/>
  <c r="P83" i="6"/>
  <c r="E83" i="6"/>
  <c r="Q83" i="6"/>
  <c r="F83" i="6"/>
  <c r="R83" i="6"/>
  <c r="G83" i="6"/>
  <c r="S83" i="6"/>
  <c r="L84" i="6"/>
  <c r="M84" i="6"/>
  <c r="C84" i="6"/>
  <c r="N84" i="6"/>
  <c r="O84" i="6"/>
  <c r="D84" i="6"/>
  <c r="P84" i="6"/>
  <c r="E84" i="6"/>
  <c r="Q84" i="6"/>
  <c r="G84" i="6"/>
  <c r="F84" i="6"/>
  <c r="R84" i="6"/>
  <c r="S84" i="6"/>
  <c r="H84" i="6"/>
  <c r="T84" i="6"/>
  <c r="I84" i="6"/>
  <c r="U84" i="6"/>
  <c r="J84" i="6"/>
  <c r="V84" i="6"/>
  <c r="K84" i="6"/>
  <c r="W84" i="6"/>
  <c r="L90" i="6"/>
  <c r="M90" i="6"/>
  <c r="N90" i="6"/>
  <c r="O90" i="6"/>
  <c r="D90" i="6"/>
  <c r="P90" i="6"/>
  <c r="E90" i="6"/>
  <c r="Q90" i="6"/>
  <c r="G90" i="6"/>
  <c r="C90" i="6"/>
  <c r="F90" i="6"/>
  <c r="R90" i="6"/>
  <c r="S90" i="6"/>
  <c r="H90" i="6"/>
  <c r="T90" i="6"/>
  <c r="I90" i="6"/>
  <c r="U90" i="6"/>
  <c r="J90" i="6"/>
  <c r="V90" i="6"/>
  <c r="K90" i="6"/>
  <c r="W90" i="6"/>
  <c r="H92" i="6"/>
  <c r="T92" i="6"/>
  <c r="I92" i="6"/>
  <c r="U92" i="6"/>
  <c r="J92" i="6"/>
  <c r="V92" i="6"/>
  <c r="K92" i="6"/>
  <c r="W92" i="6"/>
  <c r="L92" i="6"/>
  <c r="M92" i="6"/>
  <c r="O92" i="6"/>
  <c r="N92" i="6"/>
  <c r="D92" i="6"/>
  <c r="P92" i="6"/>
  <c r="E92" i="6"/>
  <c r="Q92" i="6"/>
  <c r="C92" i="6"/>
  <c r="F92" i="6"/>
  <c r="R92" i="6"/>
  <c r="G92" i="6"/>
  <c r="S92" i="6"/>
  <c r="D82" i="6"/>
  <c r="P82" i="6"/>
  <c r="E82" i="6"/>
  <c r="Q82" i="6"/>
  <c r="R82" i="6"/>
  <c r="F82" i="6"/>
  <c r="G82" i="6"/>
  <c r="S82" i="6"/>
  <c r="H82" i="6"/>
  <c r="T82" i="6"/>
  <c r="I82" i="6"/>
  <c r="U82" i="6"/>
  <c r="J82" i="6"/>
  <c r="V82" i="6"/>
  <c r="W82" i="6"/>
  <c r="K82" i="6"/>
  <c r="L82" i="6"/>
  <c r="M82" i="6"/>
  <c r="N82" i="6"/>
  <c r="O82" i="6"/>
  <c r="D85" i="6"/>
  <c r="P85" i="6"/>
  <c r="E85" i="6"/>
  <c r="Q85" i="6"/>
  <c r="F85" i="6"/>
  <c r="R85" i="6"/>
  <c r="C85" i="6"/>
  <c r="G85" i="6"/>
  <c r="S85" i="6"/>
  <c r="H85" i="6"/>
  <c r="T85" i="6"/>
  <c r="I85" i="6"/>
  <c r="U85" i="6"/>
  <c r="K85" i="6"/>
  <c r="J85" i="6"/>
  <c r="V85" i="6"/>
  <c r="W85" i="6"/>
  <c r="L85" i="6"/>
  <c r="M85" i="6"/>
  <c r="N85" i="6"/>
  <c r="O85" i="6"/>
  <c r="L93" i="6"/>
  <c r="M93" i="6"/>
  <c r="O93" i="6"/>
  <c r="D93" i="6"/>
  <c r="P93" i="6"/>
  <c r="E93" i="6"/>
  <c r="Q93" i="6"/>
  <c r="S93" i="6"/>
  <c r="F93" i="6"/>
  <c r="R93" i="6"/>
  <c r="G93" i="6"/>
  <c r="H93" i="6"/>
  <c r="T93" i="6"/>
  <c r="I93" i="6"/>
  <c r="U93" i="6"/>
  <c r="N93" i="6"/>
  <c r="J93" i="6"/>
  <c r="V93" i="6"/>
  <c r="C93" i="6"/>
  <c r="K93" i="6"/>
  <c r="W93" i="6"/>
  <c r="D91" i="6"/>
  <c r="P91" i="6"/>
  <c r="E91" i="6"/>
  <c r="Q91" i="6"/>
  <c r="F91" i="6"/>
  <c r="R91" i="6"/>
  <c r="G91" i="6"/>
  <c r="S91" i="6"/>
  <c r="H91" i="6"/>
  <c r="T91" i="6"/>
  <c r="I91" i="6"/>
  <c r="U91" i="6"/>
  <c r="K91" i="6"/>
  <c r="J91" i="6"/>
  <c r="V91" i="6"/>
  <c r="W91" i="6"/>
  <c r="L91" i="6"/>
  <c r="C91" i="6"/>
  <c r="M91" i="6"/>
  <c r="N91" i="6"/>
  <c r="O91" i="6"/>
  <c r="H86" i="6"/>
  <c r="T86" i="6"/>
  <c r="I86" i="6"/>
  <c r="U86" i="6"/>
  <c r="J86" i="6"/>
  <c r="V86" i="6"/>
  <c r="K86" i="6"/>
  <c r="W86" i="6"/>
  <c r="C86" i="6"/>
  <c r="L86" i="6"/>
  <c r="M86" i="6"/>
  <c r="O86" i="6"/>
  <c r="N86" i="6"/>
  <c r="D86" i="6"/>
  <c r="P86" i="6"/>
  <c r="E86" i="6"/>
  <c r="Q86" i="6"/>
  <c r="F86" i="6"/>
  <c r="R86" i="6"/>
  <c r="G86" i="6"/>
  <c r="S86" i="6"/>
  <c r="O52" i="6"/>
  <c r="D52" i="6"/>
  <c r="S52" i="6"/>
  <c r="H52" i="6"/>
  <c r="T52" i="6"/>
  <c r="I52" i="6"/>
  <c r="U52" i="6"/>
  <c r="P52" i="6"/>
  <c r="W52" i="6"/>
  <c r="E52" i="6"/>
  <c r="J52" i="6"/>
  <c r="Q52" i="6"/>
  <c r="V52" i="6"/>
  <c r="L52" i="6"/>
  <c r="F52" i="6"/>
  <c r="M52" i="6"/>
  <c r="R52" i="6"/>
  <c r="G52" i="6"/>
  <c r="N52" i="6"/>
  <c r="O53" i="6"/>
  <c r="G59" i="6"/>
  <c r="M53" i="6"/>
  <c r="I58" i="6"/>
  <c r="U58" i="6"/>
  <c r="J58" i="6"/>
  <c r="V58" i="6"/>
  <c r="K58" i="6"/>
  <c r="W58" i="6"/>
  <c r="L58" i="6"/>
  <c r="M58" i="6"/>
  <c r="S58" i="6"/>
  <c r="N58" i="6"/>
  <c r="O58" i="6"/>
  <c r="D58" i="6"/>
  <c r="P58" i="6"/>
  <c r="C58" i="6"/>
  <c r="G58" i="6"/>
  <c r="E58" i="6"/>
  <c r="Q58" i="6"/>
  <c r="F58" i="6"/>
  <c r="R58" i="6"/>
  <c r="H58" i="6"/>
  <c r="T58" i="6"/>
  <c r="M61" i="6"/>
  <c r="N61" i="6"/>
  <c r="O61" i="6"/>
  <c r="D61" i="6"/>
  <c r="P61" i="6"/>
  <c r="E61" i="6"/>
  <c r="Q61" i="6"/>
  <c r="F61" i="6"/>
  <c r="R61" i="6"/>
  <c r="W61" i="6"/>
  <c r="G61" i="6"/>
  <c r="S61" i="6"/>
  <c r="K61" i="6"/>
  <c r="H61" i="6"/>
  <c r="T61" i="6"/>
  <c r="I61" i="6"/>
  <c r="U61" i="6"/>
  <c r="J61" i="6"/>
  <c r="V61" i="6"/>
  <c r="L61" i="6"/>
  <c r="C61" i="6"/>
  <c r="E63" i="6"/>
  <c r="Q63" i="6"/>
  <c r="F63" i="6"/>
  <c r="R63" i="6"/>
  <c r="G63" i="6"/>
  <c r="S63" i="6"/>
  <c r="H63" i="6"/>
  <c r="T63" i="6"/>
  <c r="O63" i="6"/>
  <c r="I63" i="6"/>
  <c r="U63" i="6"/>
  <c r="J63" i="6"/>
  <c r="V63" i="6"/>
  <c r="K63" i="6"/>
  <c r="W63" i="6"/>
  <c r="L63" i="6"/>
  <c r="M63" i="6"/>
  <c r="N63" i="6"/>
  <c r="D63" i="6"/>
  <c r="P63" i="6"/>
  <c r="H59" i="6"/>
  <c r="T59" i="6"/>
  <c r="W59" i="6"/>
  <c r="K59" i="6"/>
  <c r="L59" i="6"/>
  <c r="J57" i="6"/>
  <c r="V57" i="6"/>
  <c r="F57" i="6"/>
  <c r="K57" i="6"/>
  <c r="W57" i="6"/>
  <c r="L57" i="6"/>
  <c r="M57" i="6"/>
  <c r="C57" i="6"/>
  <c r="N57" i="6"/>
  <c r="R57" i="6"/>
  <c r="O57" i="6"/>
  <c r="G57" i="6"/>
  <c r="D57" i="6"/>
  <c r="P57" i="6"/>
  <c r="Q57" i="6"/>
  <c r="S57" i="6"/>
  <c r="E57" i="6"/>
  <c r="T57" i="6"/>
  <c r="I57" i="6"/>
  <c r="U57" i="6"/>
  <c r="H57" i="6"/>
  <c r="R59" i="6"/>
  <c r="U59" i="6"/>
  <c r="D53" i="6"/>
  <c r="P53" i="6"/>
  <c r="F56" i="6"/>
  <c r="R56" i="6"/>
  <c r="G56" i="6"/>
  <c r="S56" i="6"/>
  <c r="D56" i="6"/>
  <c r="H56" i="6"/>
  <c r="T56" i="6"/>
  <c r="C56" i="6"/>
  <c r="I56" i="6"/>
  <c r="U56" i="6"/>
  <c r="O56" i="6"/>
  <c r="J56" i="6"/>
  <c r="V56" i="6"/>
  <c r="K56" i="6"/>
  <c r="W56" i="6"/>
  <c r="P56" i="6"/>
  <c r="L56" i="6"/>
  <c r="M56" i="6"/>
  <c r="N56" i="6"/>
  <c r="E56" i="6"/>
  <c r="Q56" i="6"/>
  <c r="U53" i="6"/>
  <c r="I59" i="6"/>
  <c r="G53" i="6"/>
  <c r="E53" i="6"/>
  <c r="L53" i="6"/>
  <c r="O59" i="6"/>
  <c r="P59" i="6"/>
  <c r="N59" i="6"/>
  <c r="E59" i="6"/>
  <c r="Q59" i="6"/>
  <c r="D59" i="6"/>
  <c r="J53" i="6"/>
  <c r="F62" i="6"/>
  <c r="R62" i="6"/>
  <c r="G62" i="6"/>
  <c r="S62" i="6"/>
  <c r="H62" i="6"/>
  <c r="T62" i="6"/>
  <c r="D62" i="6"/>
  <c r="I62" i="6"/>
  <c r="U62" i="6"/>
  <c r="O62" i="6"/>
  <c r="J62" i="6"/>
  <c r="V62" i="6"/>
  <c r="K62" i="6"/>
  <c r="W62" i="6"/>
  <c r="L62" i="6"/>
  <c r="C62" i="6"/>
  <c r="M62" i="6"/>
  <c r="N62" i="6"/>
  <c r="P62" i="6"/>
  <c r="E62" i="6"/>
  <c r="Q62" i="6"/>
  <c r="S53" i="6"/>
  <c r="V53" i="6"/>
  <c r="J59" i="6"/>
  <c r="J54" i="6"/>
  <c r="V54" i="6"/>
  <c r="K54" i="6"/>
  <c r="W54" i="6"/>
  <c r="L54" i="6"/>
  <c r="T54" i="6"/>
  <c r="M54" i="6"/>
  <c r="H54" i="6"/>
  <c r="N54" i="6"/>
  <c r="C54" i="6"/>
  <c r="S54" i="6"/>
  <c r="O54" i="6"/>
  <c r="D54" i="6"/>
  <c r="P54" i="6"/>
  <c r="E54" i="6"/>
  <c r="Q54" i="6"/>
  <c r="F54" i="6"/>
  <c r="R54" i="6"/>
  <c r="G54" i="6"/>
  <c r="I54" i="6"/>
  <c r="U54" i="6"/>
  <c r="S59" i="6"/>
  <c r="V59" i="6"/>
  <c r="Q53" i="6"/>
  <c r="I53" i="6"/>
  <c r="M59" i="6"/>
  <c r="C59" i="6"/>
  <c r="J60" i="6"/>
  <c r="V60" i="6"/>
  <c r="S60" i="6"/>
  <c r="K60" i="6"/>
  <c r="W60" i="6"/>
  <c r="L60" i="6"/>
  <c r="G60" i="6"/>
  <c r="M60" i="6"/>
  <c r="T60" i="6"/>
  <c r="N60" i="6"/>
  <c r="Q60" i="6"/>
  <c r="O60" i="6"/>
  <c r="C60" i="6"/>
  <c r="F60" i="6"/>
  <c r="D60" i="6"/>
  <c r="P60" i="6"/>
  <c r="H60" i="6"/>
  <c r="E60" i="6"/>
  <c r="R60" i="6"/>
  <c r="I60" i="6"/>
  <c r="U60" i="6"/>
  <c r="H53" i="6"/>
  <c r="K53" i="6"/>
  <c r="F59" i="6"/>
  <c r="N53" i="6"/>
  <c r="N55" i="6"/>
  <c r="K55" i="6"/>
  <c r="O55" i="6"/>
  <c r="D55" i="6"/>
  <c r="P55" i="6"/>
  <c r="W55" i="6"/>
  <c r="E55" i="6"/>
  <c r="Q55" i="6"/>
  <c r="F55" i="6"/>
  <c r="R55" i="6"/>
  <c r="C55" i="6"/>
  <c r="G55" i="6"/>
  <c r="S55" i="6"/>
  <c r="U55" i="6"/>
  <c r="H55" i="6"/>
  <c r="T55" i="6"/>
  <c r="L55" i="6"/>
  <c r="I55" i="6"/>
  <c r="J55" i="6"/>
  <c r="V55" i="6"/>
  <c r="M55" i="6"/>
  <c r="T53" i="6"/>
  <c r="W53" i="6"/>
  <c r="F53" i="6"/>
  <c r="H10" i="6"/>
  <c r="H5" i="6"/>
  <c r="H14" i="6"/>
  <c r="H8" i="6"/>
  <c r="H11" i="6"/>
  <c r="H13" i="6"/>
  <c r="H6" i="6"/>
  <c r="H9" i="6"/>
  <c r="H7" i="6"/>
  <c r="H12" i="6"/>
  <c r="H3" i="6"/>
  <c r="D43" i="3" l="1"/>
  <c r="J52" i="7"/>
  <c r="AK9" i="4"/>
  <c r="AB43" i="4"/>
  <c r="J46" i="7"/>
  <c r="AK10" i="4"/>
  <c r="T42" i="7" s="1"/>
  <c r="AC43" i="4"/>
  <c r="F52" i="7"/>
  <c r="J61" i="7"/>
  <c r="F56" i="7"/>
  <c r="F76" i="7"/>
  <c r="L52" i="7"/>
  <c r="F61" i="7"/>
  <c r="R52" i="7"/>
  <c r="J85" i="7"/>
  <c r="F71" i="7"/>
  <c r="F86" i="7"/>
  <c r="J67" i="7"/>
  <c r="P76" i="7"/>
  <c r="F67" i="7"/>
  <c r="N81" i="7"/>
  <c r="L67" i="7"/>
  <c r="S54" i="7"/>
  <c r="L86" i="7"/>
  <c r="I48" i="7"/>
  <c r="N66" i="7"/>
  <c r="AJ30" i="4"/>
  <c r="AJ37" i="4" s="1"/>
  <c r="L61" i="7"/>
  <c r="G79" i="7"/>
  <c r="N53" i="7"/>
  <c r="G49" i="7"/>
  <c r="AI29" i="4"/>
  <c r="AI36" i="4" s="1"/>
  <c r="R86" i="7"/>
  <c r="G84" i="7"/>
  <c r="G54" i="7"/>
  <c r="AM20" i="4"/>
  <c r="N65" i="7"/>
  <c r="L76" i="7"/>
  <c r="R61" i="7"/>
  <c r="AI21" i="4"/>
  <c r="R76" i="7"/>
  <c r="AJ20" i="4"/>
  <c r="H68" i="7"/>
  <c r="AL20" i="4"/>
  <c r="AL36" i="4"/>
  <c r="AL19" i="4"/>
  <c r="AL35" i="4"/>
  <c r="AL21" i="4"/>
  <c r="AL37" i="4"/>
  <c r="H77" i="7"/>
  <c r="H80" i="7"/>
  <c r="H47" i="7"/>
  <c r="M64" i="7"/>
  <c r="H51" i="7"/>
  <c r="S69" i="7"/>
  <c r="R67" i="7"/>
  <c r="AM19" i="4"/>
  <c r="AM35" i="4"/>
  <c r="R56" i="7"/>
  <c r="L82" i="7"/>
  <c r="R71" i="7"/>
  <c r="S64" i="7"/>
  <c r="AJ29" i="4"/>
  <c r="AJ36" i="4" s="1"/>
  <c r="L46" i="7"/>
  <c r="N80" i="7"/>
  <c r="H50" i="7"/>
  <c r="AI20" i="4"/>
  <c r="AM21" i="4"/>
  <c r="AM37" i="4"/>
  <c r="R82" i="7"/>
  <c r="AJ19" i="4"/>
  <c r="AJ35" i="4"/>
  <c r="AI35" i="4"/>
  <c r="AI30" i="4"/>
  <c r="AI37" i="4" s="1"/>
  <c r="L71" i="7"/>
  <c r="N62" i="7"/>
  <c r="M54" i="7"/>
  <c r="P85" i="7"/>
  <c r="H66" i="7"/>
  <c r="AK20" i="4"/>
  <c r="AK36" i="4"/>
  <c r="H65" i="7"/>
  <c r="AJ21" i="4"/>
  <c r="AK19" i="4"/>
  <c r="AK35" i="4"/>
  <c r="V52" i="7"/>
  <c r="V82" i="7"/>
  <c r="V61" i="7"/>
  <c r="V46" i="7"/>
  <c r="V76" i="7"/>
  <c r="P70" i="7"/>
  <c r="P46" i="7"/>
  <c r="P61" i="7"/>
  <c r="P67" i="7"/>
  <c r="J82" i="7"/>
  <c r="J76" i="7"/>
  <c r="U78" i="7"/>
  <c r="O78" i="7"/>
  <c r="N51" i="7"/>
  <c r="M84" i="7"/>
  <c r="M79" i="7"/>
  <c r="S79" i="7"/>
  <c r="P56" i="7"/>
  <c r="P71" i="7"/>
  <c r="P62" i="7"/>
  <c r="P79" i="7"/>
  <c r="P78" i="7"/>
  <c r="P63" i="7"/>
  <c r="P65" i="7"/>
  <c r="P48" i="7"/>
  <c r="P80" i="7"/>
  <c r="P77" i="7"/>
  <c r="P83" i="7"/>
  <c r="P55" i="7"/>
  <c r="P66" i="7"/>
  <c r="P49" i="7"/>
  <c r="P54" i="7"/>
  <c r="P68" i="7"/>
  <c r="P69" i="7"/>
  <c r="P50" i="7"/>
  <c r="P84" i="7"/>
  <c r="P47" i="7"/>
  <c r="P53" i="7"/>
  <c r="P64" i="7"/>
  <c r="P51" i="7"/>
  <c r="P86" i="7"/>
  <c r="P81" i="7"/>
  <c r="P52" i="7"/>
  <c r="V67" i="7"/>
  <c r="S84" i="7"/>
  <c r="N83" i="7"/>
  <c r="N49" i="7"/>
  <c r="N52" i="7"/>
  <c r="N64" i="7"/>
  <c r="N54" i="7"/>
  <c r="N46" i="7"/>
  <c r="N69" i="7"/>
  <c r="N56" i="7"/>
  <c r="N79" i="7"/>
  <c r="N63" i="7"/>
  <c r="N55" i="7"/>
  <c r="N82" i="7"/>
  <c r="N61" i="7"/>
  <c r="N86" i="7"/>
  <c r="N85" i="7"/>
  <c r="N70" i="7"/>
  <c r="N67" i="7"/>
  <c r="N78" i="7"/>
  <c r="N84" i="7"/>
  <c r="N48" i="7"/>
  <c r="N76" i="7"/>
  <c r="N71" i="7"/>
  <c r="V53" i="7"/>
  <c r="V81" i="7"/>
  <c r="V49" i="7"/>
  <c r="V62" i="7"/>
  <c r="V64" i="7"/>
  <c r="V77" i="7"/>
  <c r="V66" i="7"/>
  <c r="V48" i="7"/>
  <c r="V65" i="7"/>
  <c r="V86" i="7"/>
  <c r="V55" i="7"/>
  <c r="V50" i="7"/>
  <c r="V68" i="7"/>
  <c r="V78" i="7"/>
  <c r="V71" i="7"/>
  <c r="V84" i="7"/>
  <c r="V80" i="7"/>
  <c r="V51" i="7"/>
  <c r="V83" i="7"/>
  <c r="V56" i="7"/>
  <c r="V47" i="7"/>
  <c r="V54" i="7"/>
  <c r="V69" i="7"/>
  <c r="V63" i="7"/>
  <c r="V79" i="7"/>
  <c r="I52" i="7"/>
  <c r="I63" i="7"/>
  <c r="I77" i="7"/>
  <c r="I69" i="7"/>
  <c r="I62" i="7"/>
  <c r="I56" i="7"/>
  <c r="I82" i="7"/>
  <c r="I51" i="7"/>
  <c r="I81" i="7"/>
  <c r="I86" i="7"/>
  <c r="I49" i="7"/>
  <c r="I64" i="7"/>
  <c r="I84" i="7"/>
  <c r="I80" i="7"/>
  <c r="I55" i="7"/>
  <c r="I66" i="7"/>
  <c r="I67" i="7"/>
  <c r="I70" i="7"/>
  <c r="I76" i="7"/>
  <c r="I46" i="7"/>
  <c r="I47" i="7"/>
  <c r="I68" i="7"/>
  <c r="I61" i="7"/>
  <c r="I83" i="7"/>
  <c r="I54" i="7"/>
  <c r="I50" i="7"/>
  <c r="I79" i="7"/>
  <c r="I71" i="7"/>
  <c r="I65" i="7"/>
  <c r="I53" i="7"/>
  <c r="I85" i="7"/>
  <c r="H67" i="7"/>
  <c r="H64" i="7"/>
  <c r="H56" i="7"/>
  <c r="H84" i="7"/>
  <c r="H78" i="7"/>
  <c r="H54" i="7"/>
  <c r="H82" i="7"/>
  <c r="H49" i="7"/>
  <c r="H71" i="7"/>
  <c r="H48" i="7"/>
  <c r="H52" i="7"/>
  <c r="H76" i="7"/>
  <c r="H83" i="7"/>
  <c r="H69" i="7"/>
  <c r="H55" i="7"/>
  <c r="H79" i="7"/>
  <c r="H63" i="7"/>
  <c r="H86" i="7"/>
  <c r="H85" i="7"/>
  <c r="H70" i="7"/>
  <c r="H61" i="7"/>
  <c r="H46" i="7"/>
  <c r="R47" i="7"/>
  <c r="R48" i="7"/>
  <c r="R68" i="7"/>
  <c r="R49" i="7"/>
  <c r="R65" i="7"/>
  <c r="R79" i="7"/>
  <c r="R54" i="7"/>
  <c r="R51" i="7"/>
  <c r="R55" i="7"/>
  <c r="R50" i="7"/>
  <c r="R63" i="7"/>
  <c r="R69" i="7"/>
  <c r="R81" i="7"/>
  <c r="R77" i="7"/>
  <c r="R85" i="7"/>
  <c r="R53" i="7"/>
  <c r="R78" i="7"/>
  <c r="R84" i="7"/>
  <c r="R66" i="7"/>
  <c r="R70" i="7"/>
  <c r="R62" i="7"/>
  <c r="R80" i="7"/>
  <c r="R83" i="7"/>
  <c r="R64" i="7"/>
  <c r="N50" i="7"/>
  <c r="N77" i="7"/>
  <c r="G51" i="7"/>
  <c r="G67" i="7"/>
  <c r="G80" i="7"/>
  <c r="G85" i="7"/>
  <c r="G78" i="7"/>
  <c r="G56" i="7"/>
  <c r="G82" i="7"/>
  <c r="G50" i="7"/>
  <c r="G61" i="7"/>
  <c r="G76" i="7"/>
  <c r="G70" i="7"/>
  <c r="G46" i="7"/>
  <c r="G66" i="7"/>
  <c r="G71" i="7"/>
  <c r="G68" i="7"/>
  <c r="G47" i="7"/>
  <c r="G86" i="7"/>
  <c r="G65" i="7"/>
  <c r="G81" i="7"/>
  <c r="G53" i="7"/>
  <c r="G63" i="7"/>
  <c r="G55" i="7"/>
  <c r="G83" i="7"/>
  <c r="G62" i="7"/>
  <c r="G77" i="7"/>
  <c r="G48" i="7"/>
  <c r="G52" i="7"/>
  <c r="L47" i="7"/>
  <c r="L64" i="7"/>
  <c r="L80" i="7"/>
  <c r="L55" i="7"/>
  <c r="L70" i="7"/>
  <c r="L84" i="7"/>
  <c r="L48" i="7"/>
  <c r="L54" i="7"/>
  <c r="L53" i="7"/>
  <c r="L50" i="7"/>
  <c r="L51" i="7"/>
  <c r="L68" i="7"/>
  <c r="L78" i="7"/>
  <c r="L62" i="7"/>
  <c r="L65" i="7"/>
  <c r="L69" i="7"/>
  <c r="L85" i="7"/>
  <c r="L66" i="7"/>
  <c r="L79" i="7"/>
  <c r="L63" i="7"/>
  <c r="L77" i="7"/>
  <c r="L83" i="7"/>
  <c r="L81" i="7"/>
  <c r="L49" i="7"/>
  <c r="S56" i="7"/>
  <c r="S62" i="7"/>
  <c r="S68" i="7"/>
  <c r="S48" i="7"/>
  <c r="S80" i="7"/>
  <c r="S65" i="7"/>
  <c r="S78" i="7"/>
  <c r="S47" i="7"/>
  <c r="S76" i="7"/>
  <c r="S53" i="7"/>
  <c r="S51" i="7"/>
  <c r="S66" i="7"/>
  <c r="S81" i="7"/>
  <c r="S85" i="7"/>
  <c r="S67" i="7"/>
  <c r="S50" i="7"/>
  <c r="S83" i="7"/>
  <c r="S63" i="7"/>
  <c r="S61" i="7"/>
  <c r="S46" i="7"/>
  <c r="S70" i="7"/>
  <c r="S86" i="7"/>
  <c r="S82" i="7"/>
  <c r="S77" i="7"/>
  <c r="S55" i="7"/>
  <c r="S52" i="7"/>
  <c r="S71" i="7"/>
  <c r="N47" i="7"/>
  <c r="H62" i="7"/>
  <c r="J65" i="7"/>
  <c r="J79" i="7"/>
  <c r="J49" i="7"/>
  <c r="J63" i="7"/>
  <c r="J56" i="7"/>
  <c r="J77" i="7"/>
  <c r="J83" i="7"/>
  <c r="J47" i="7"/>
  <c r="J51" i="7"/>
  <c r="J86" i="7"/>
  <c r="J50" i="7"/>
  <c r="J53" i="7"/>
  <c r="J54" i="7"/>
  <c r="J64" i="7"/>
  <c r="J80" i="7"/>
  <c r="J78" i="7"/>
  <c r="J84" i="7"/>
  <c r="J62" i="7"/>
  <c r="J81" i="7"/>
  <c r="J55" i="7"/>
  <c r="J48" i="7"/>
  <c r="J71" i="7"/>
  <c r="J68" i="7"/>
  <c r="J69" i="7"/>
  <c r="J66" i="7"/>
  <c r="U86" i="7"/>
  <c r="U67" i="7"/>
  <c r="U84" i="7"/>
  <c r="U55" i="7"/>
  <c r="U64" i="7"/>
  <c r="U61" i="7"/>
  <c r="U51" i="7"/>
  <c r="U82" i="7"/>
  <c r="U46" i="7"/>
  <c r="U70" i="7"/>
  <c r="U56" i="7"/>
  <c r="U71" i="7"/>
  <c r="U68" i="7"/>
  <c r="U53" i="7"/>
  <c r="U52" i="7"/>
  <c r="U65" i="7"/>
  <c r="U62" i="7"/>
  <c r="U77" i="7"/>
  <c r="U83" i="7"/>
  <c r="U85" i="7"/>
  <c r="U81" i="7"/>
  <c r="U76" i="7"/>
  <c r="U63" i="7"/>
  <c r="U79" i="7"/>
  <c r="U50" i="7"/>
  <c r="U80" i="7"/>
  <c r="U69" i="7"/>
  <c r="U49" i="7"/>
  <c r="U47" i="7"/>
  <c r="U66" i="7"/>
  <c r="U54" i="7"/>
  <c r="F84" i="7"/>
  <c r="F64" i="7"/>
  <c r="F80" i="7"/>
  <c r="F54" i="7"/>
  <c r="F49" i="7"/>
  <c r="F70" i="7"/>
  <c r="F63" i="7"/>
  <c r="F78" i="7"/>
  <c r="F81" i="7"/>
  <c r="F85" i="7"/>
  <c r="F65" i="7"/>
  <c r="F47" i="7"/>
  <c r="F68" i="7"/>
  <c r="F50" i="7"/>
  <c r="F83" i="7"/>
  <c r="F77" i="7"/>
  <c r="F69" i="7"/>
  <c r="F62" i="7"/>
  <c r="F66" i="7"/>
  <c r="F53" i="7"/>
  <c r="F48" i="7"/>
  <c r="F51" i="7"/>
  <c r="F55" i="7"/>
  <c r="F79" i="7"/>
  <c r="H81" i="7"/>
  <c r="V85" i="7"/>
  <c r="O52" i="7"/>
  <c r="O76" i="7"/>
  <c r="O47" i="7"/>
  <c r="O81" i="7"/>
  <c r="O53" i="7"/>
  <c r="O63" i="7"/>
  <c r="O68" i="7"/>
  <c r="O56" i="7"/>
  <c r="O84" i="7"/>
  <c r="O77" i="7"/>
  <c r="O49" i="7"/>
  <c r="O69" i="7"/>
  <c r="O86" i="7"/>
  <c r="O54" i="7"/>
  <c r="O83" i="7"/>
  <c r="O66" i="7"/>
  <c r="O85" i="7"/>
  <c r="O79" i="7"/>
  <c r="O51" i="7"/>
  <c r="O70" i="7"/>
  <c r="O55" i="7"/>
  <c r="O50" i="7"/>
  <c r="O67" i="7"/>
  <c r="O61" i="7"/>
  <c r="O82" i="7"/>
  <c r="O62" i="7"/>
  <c r="O80" i="7"/>
  <c r="O65" i="7"/>
  <c r="O71" i="7"/>
  <c r="O64" i="7"/>
  <c r="O46" i="7"/>
  <c r="M81" i="7"/>
  <c r="M46" i="7"/>
  <c r="M71" i="7"/>
  <c r="M51" i="7"/>
  <c r="M63" i="7"/>
  <c r="M55" i="7"/>
  <c r="M47" i="7"/>
  <c r="M77" i="7"/>
  <c r="M61" i="7"/>
  <c r="M66" i="7"/>
  <c r="M49" i="7"/>
  <c r="M76" i="7"/>
  <c r="M67" i="7"/>
  <c r="M53" i="7"/>
  <c r="M48" i="7"/>
  <c r="M83" i="7"/>
  <c r="M78" i="7"/>
  <c r="M65" i="7"/>
  <c r="M82" i="7"/>
  <c r="M80" i="7"/>
  <c r="M70" i="7"/>
  <c r="M86" i="7"/>
  <c r="M56" i="7"/>
  <c r="M52" i="7"/>
  <c r="M62" i="7"/>
  <c r="M68" i="7"/>
  <c r="M85" i="7"/>
  <c r="M50" i="7"/>
  <c r="G64" i="7"/>
  <c r="W4" i="7"/>
  <c r="W8" i="7"/>
  <c r="R14" i="7"/>
  <c r="W14" i="7" s="1"/>
  <c r="T5" i="7"/>
  <c r="W5" i="7" s="1"/>
  <c r="S12" i="7"/>
  <c r="W12" i="7" s="1"/>
  <c r="T9" i="7"/>
  <c r="W9" i="7" s="1"/>
  <c r="S7" i="7"/>
  <c r="W7" i="7" s="1"/>
  <c r="W10" i="7"/>
  <c r="I144" i="6"/>
  <c r="O144" i="6"/>
  <c r="E144" i="6"/>
  <c r="V144" i="6"/>
  <c r="N144" i="6"/>
  <c r="J144" i="6"/>
  <c r="P144" i="6"/>
  <c r="U144" i="6"/>
  <c r="D144" i="6"/>
  <c r="T144" i="6"/>
  <c r="H144" i="6"/>
  <c r="C144" i="6"/>
  <c r="S144" i="6"/>
  <c r="M144" i="6"/>
  <c r="G144" i="6"/>
  <c r="L144" i="6"/>
  <c r="R144" i="6"/>
  <c r="W144" i="6"/>
  <c r="F144" i="6"/>
  <c r="K144" i="6"/>
  <c r="Q144" i="6"/>
  <c r="J143" i="6"/>
  <c r="Q143" i="6"/>
  <c r="C143" i="6"/>
  <c r="G145" i="6"/>
  <c r="L145" i="6"/>
  <c r="V145" i="6"/>
  <c r="V143" i="6"/>
  <c r="O143" i="6"/>
  <c r="S145" i="6"/>
  <c r="C145" i="6"/>
  <c r="E143" i="6"/>
  <c r="K143" i="6"/>
  <c r="R145" i="6"/>
  <c r="W143" i="6"/>
  <c r="F145" i="6"/>
  <c r="P143" i="6"/>
  <c r="W145" i="6"/>
  <c r="E145" i="6"/>
  <c r="N143" i="6"/>
  <c r="U143" i="6"/>
  <c r="K145" i="6"/>
  <c r="P145" i="6"/>
  <c r="G143" i="6"/>
  <c r="I143" i="6"/>
  <c r="U145" i="6"/>
  <c r="D145" i="6"/>
  <c r="R143" i="6"/>
  <c r="T143" i="6"/>
  <c r="I145" i="6"/>
  <c r="O145" i="6"/>
  <c r="M143" i="6"/>
  <c r="H143" i="6"/>
  <c r="T145" i="6"/>
  <c r="N145" i="6"/>
  <c r="F143" i="6"/>
  <c r="S143" i="6"/>
  <c r="H145" i="6"/>
  <c r="M145" i="6"/>
  <c r="L143" i="6"/>
  <c r="D143" i="6"/>
  <c r="J145" i="6"/>
  <c r="Q145" i="6"/>
  <c r="T41" i="7" l="1"/>
  <c r="AK17" i="4"/>
  <c r="K46" i="7"/>
  <c r="B46" i="7" s="1"/>
  <c r="B106" i="7" s="1"/>
  <c r="Q82" i="7"/>
  <c r="C82" i="7" s="1"/>
  <c r="C142" i="7" s="1"/>
  <c r="AN36" i="4"/>
  <c r="Q78" i="7"/>
  <c r="C78" i="7" s="1"/>
  <c r="C138" i="7" s="1"/>
  <c r="K61" i="7"/>
  <c r="B61" i="7" s="1"/>
  <c r="B121" i="7" s="1"/>
  <c r="Q69" i="7"/>
  <c r="C69" i="7" s="1"/>
  <c r="C129" i="7" s="1"/>
  <c r="K82" i="7"/>
  <c r="B82" i="7" s="1"/>
  <c r="B142" i="7" s="1"/>
  <c r="K52" i="7"/>
  <c r="B52" i="7" s="1"/>
  <c r="B112" i="7" s="1"/>
  <c r="AN35" i="4"/>
  <c r="Q62" i="7"/>
  <c r="C62" i="7" s="1"/>
  <c r="C122" i="7" s="1"/>
  <c r="Q84" i="7"/>
  <c r="C84" i="7" s="1"/>
  <c r="C144" i="7" s="1"/>
  <c r="K47" i="7"/>
  <c r="B47" i="7" s="1"/>
  <c r="K51" i="7"/>
  <c r="B51" i="7" s="1"/>
  <c r="Q64" i="7"/>
  <c r="C64" i="7" s="1"/>
  <c r="C124" i="7" s="1"/>
  <c r="K76" i="7"/>
  <c r="B76" i="7" s="1"/>
  <c r="Q67" i="7"/>
  <c r="C67" i="7" s="1"/>
  <c r="C127" i="7" s="1"/>
  <c r="Q61" i="7"/>
  <c r="C61" i="7" s="1"/>
  <c r="C121" i="7" s="1"/>
  <c r="Q86" i="7"/>
  <c r="C86" i="7" s="1"/>
  <c r="C146" i="7" s="1"/>
  <c r="K68" i="7"/>
  <c r="B68" i="7" s="1"/>
  <c r="K56" i="7"/>
  <c r="B56" i="7" s="1"/>
  <c r="K86" i="7"/>
  <c r="B86" i="7" s="1"/>
  <c r="Q54" i="7"/>
  <c r="C54" i="7" s="1"/>
  <c r="C114" i="7" s="1"/>
  <c r="Q81" i="7"/>
  <c r="C81" i="7" s="1"/>
  <c r="C141" i="7" s="1"/>
  <c r="Q65" i="7"/>
  <c r="C65" i="7" s="1"/>
  <c r="C125" i="7" s="1"/>
  <c r="Q80" i="7"/>
  <c r="C80" i="7" s="1"/>
  <c r="C140" i="7" s="1"/>
  <c r="Q85" i="7"/>
  <c r="C85" i="7" s="1"/>
  <c r="C145" i="7" s="1"/>
  <c r="Q71" i="7"/>
  <c r="C71" i="7" s="1"/>
  <c r="C131" i="7" s="1"/>
  <c r="Q46" i="7"/>
  <c r="K66" i="7"/>
  <c r="B66" i="7" s="1"/>
  <c r="K79" i="7"/>
  <c r="B79" i="7" s="1"/>
  <c r="K71" i="7"/>
  <c r="B71" i="7" s="1"/>
  <c r="K67" i="7"/>
  <c r="B67" i="7" s="1"/>
  <c r="K80" i="7"/>
  <c r="B80" i="7" s="1"/>
  <c r="K50" i="7"/>
  <c r="B50" i="7" s="1"/>
  <c r="K65" i="7"/>
  <c r="B65" i="7" s="1"/>
  <c r="K54" i="7"/>
  <c r="B54" i="7" s="1"/>
  <c r="K77" i="7"/>
  <c r="B77" i="7" s="1"/>
  <c r="K84" i="7"/>
  <c r="B84" i="7" s="1"/>
  <c r="Q56" i="7"/>
  <c r="C56" i="7" s="1"/>
  <c r="C116" i="7" s="1"/>
  <c r="K85" i="7"/>
  <c r="B85" i="7" s="1"/>
  <c r="Q49" i="7"/>
  <c r="C49" i="7" s="1"/>
  <c r="C109" i="7" s="1"/>
  <c r="K70" i="7"/>
  <c r="B70" i="7" s="1"/>
  <c r="K69" i="7"/>
  <c r="B69" i="7" s="1"/>
  <c r="K49" i="7"/>
  <c r="B49" i="7" s="1"/>
  <c r="Q79" i="7"/>
  <c r="C79" i="7" s="1"/>
  <c r="C139" i="7" s="1"/>
  <c r="Q52" i="7"/>
  <c r="C52" i="7" s="1"/>
  <c r="C112" i="7" s="1"/>
  <c r="Q76" i="7"/>
  <c r="C76" i="7" s="1"/>
  <c r="C136" i="7" s="1"/>
  <c r="Q51" i="7"/>
  <c r="C51" i="7" s="1"/>
  <c r="C111" i="7" s="1"/>
  <c r="Q77" i="7"/>
  <c r="C77" i="7" s="1"/>
  <c r="C137" i="7" s="1"/>
  <c r="Q53" i="7"/>
  <c r="C53" i="7" s="1"/>
  <c r="C113" i="7" s="1"/>
  <c r="Q63" i="7"/>
  <c r="C63" i="7" s="1"/>
  <c r="C123" i="7" s="1"/>
  <c r="Q48" i="7"/>
  <c r="C48" i="7" s="1"/>
  <c r="C108" i="7" s="1"/>
  <c r="Q66" i="7"/>
  <c r="C66" i="7" s="1"/>
  <c r="C126" i="7" s="1"/>
  <c r="Q70" i="7"/>
  <c r="C70" i="7" s="1"/>
  <c r="C130" i="7" s="1"/>
  <c r="K63" i="7"/>
  <c r="B63" i="7" s="1"/>
  <c r="K62" i="7"/>
  <c r="B62" i="7" s="1"/>
  <c r="K83" i="7"/>
  <c r="B83" i="7" s="1"/>
  <c r="K64" i="7"/>
  <c r="B64" i="7" s="1"/>
  <c r="Q55" i="7"/>
  <c r="C55" i="7" s="1"/>
  <c r="C115" i="7" s="1"/>
  <c r="K55" i="7"/>
  <c r="B55" i="7" s="1"/>
  <c r="Q68" i="7"/>
  <c r="C68" i="7" s="1"/>
  <c r="C128" i="7" s="1"/>
  <c r="K48" i="7"/>
  <c r="B48" i="7" s="1"/>
  <c r="K81" i="7"/>
  <c r="B81" i="7" s="1"/>
  <c r="Q47" i="7"/>
  <c r="C47" i="7" s="1"/>
  <c r="C107" i="7" s="1"/>
  <c r="K53" i="7"/>
  <c r="B53" i="7" s="1"/>
  <c r="K78" i="7"/>
  <c r="B78" i="7" s="1"/>
  <c r="Q83" i="7"/>
  <c r="C83" i="7" s="1"/>
  <c r="C143" i="7" s="1"/>
  <c r="Q50" i="7"/>
  <c r="C50" i="7" s="1"/>
  <c r="C110" i="7" s="1"/>
  <c r="C46" i="7" l="1"/>
  <c r="C106" i="7" s="1"/>
  <c r="AK21" i="4"/>
  <c r="AK37" i="4"/>
  <c r="T51" i="7"/>
  <c r="W51" i="7" s="1"/>
  <c r="D51" i="7" s="1"/>
  <c r="D111" i="7" s="1"/>
  <c r="T81" i="7"/>
  <c r="W81" i="7" s="1"/>
  <c r="D81" i="7" s="1"/>
  <c r="D141" i="7" s="1"/>
  <c r="T78" i="7"/>
  <c r="W78" i="7" s="1"/>
  <c r="D78" i="7" s="1"/>
  <c r="D138" i="7" s="1"/>
  <c r="T83" i="7"/>
  <c r="W83" i="7" s="1"/>
  <c r="D83" i="7" s="1"/>
  <c r="D143" i="7" s="1"/>
  <c r="T66" i="7"/>
  <c r="W66" i="7" s="1"/>
  <c r="D66" i="7" s="1"/>
  <c r="D126" i="7" s="1"/>
  <c r="T56" i="7"/>
  <c r="W56" i="7" s="1"/>
  <c r="D56" i="7" s="1"/>
  <c r="D116" i="7" s="1"/>
  <c r="T86" i="7"/>
  <c r="W86" i="7" s="1"/>
  <c r="D86" i="7" s="1"/>
  <c r="D146" i="7" s="1"/>
  <c r="T68" i="7"/>
  <c r="W68" i="7" s="1"/>
  <c r="D68" i="7" s="1"/>
  <c r="D128" i="7" s="1"/>
  <c r="T48" i="7"/>
  <c r="W48" i="7" s="1"/>
  <c r="D48" i="7" s="1"/>
  <c r="D108" i="7" s="1"/>
  <c r="T63" i="7"/>
  <c r="W63" i="7" s="1"/>
  <c r="D63" i="7" s="1"/>
  <c r="D123" i="7" s="1"/>
  <c r="T79" i="7"/>
  <c r="W79" i="7" s="1"/>
  <c r="D79" i="7" s="1"/>
  <c r="D139" i="7" s="1"/>
  <c r="T64" i="7"/>
  <c r="W64" i="7" s="1"/>
  <c r="D64" i="7" s="1"/>
  <c r="D124" i="7" s="1"/>
  <c r="T84" i="7"/>
  <c r="W84" i="7" s="1"/>
  <c r="D84" i="7" s="1"/>
  <c r="D144" i="7" s="1"/>
  <c r="T65" i="7"/>
  <c r="W65" i="7" s="1"/>
  <c r="D65" i="7" s="1"/>
  <c r="D125" i="7" s="1"/>
  <c r="T49" i="7"/>
  <c r="W49" i="7" s="1"/>
  <c r="D49" i="7" s="1"/>
  <c r="D109" i="7" s="1"/>
  <c r="T50" i="7"/>
  <c r="W50" i="7" s="1"/>
  <c r="D50" i="7" s="1"/>
  <c r="D110" i="7" s="1"/>
  <c r="T67" i="7"/>
  <c r="W67" i="7" s="1"/>
  <c r="D67" i="7" s="1"/>
  <c r="D127" i="7" s="1"/>
  <c r="T55" i="7"/>
  <c r="W55" i="7" s="1"/>
  <c r="D55" i="7" s="1"/>
  <c r="D115" i="7" s="1"/>
  <c r="T62" i="7"/>
  <c r="W62" i="7" s="1"/>
  <c r="D62" i="7" s="1"/>
  <c r="D122" i="7" s="1"/>
  <c r="T61" i="7"/>
  <c r="W61" i="7" s="1"/>
  <c r="D61" i="7" s="1"/>
  <c r="D121" i="7" s="1"/>
  <c r="T46" i="7"/>
  <c r="W46" i="7" s="1"/>
  <c r="T77" i="7"/>
  <c r="W77" i="7" s="1"/>
  <c r="D77" i="7" s="1"/>
  <c r="D137" i="7" s="1"/>
  <c r="T52" i="7"/>
  <c r="W52" i="7" s="1"/>
  <c r="D52" i="7" s="1"/>
  <c r="D112" i="7" s="1"/>
  <c r="T85" i="7"/>
  <c r="W85" i="7" s="1"/>
  <c r="D85" i="7" s="1"/>
  <c r="D145" i="7" s="1"/>
  <c r="T71" i="7"/>
  <c r="W71" i="7" s="1"/>
  <c r="D71" i="7" s="1"/>
  <c r="D131" i="7" s="1"/>
  <c r="T82" i="7"/>
  <c r="W82" i="7" s="1"/>
  <c r="D82" i="7" s="1"/>
  <c r="D142" i="7" s="1"/>
  <c r="T80" i="7"/>
  <c r="W80" i="7" s="1"/>
  <c r="D80" i="7" s="1"/>
  <c r="D140" i="7" s="1"/>
  <c r="T76" i="7"/>
  <c r="W76" i="7" s="1"/>
  <c r="D76" i="7" s="1"/>
  <c r="D136" i="7" s="1"/>
  <c r="T54" i="7"/>
  <c r="W54" i="7" s="1"/>
  <c r="D54" i="7" s="1"/>
  <c r="D114" i="7" s="1"/>
  <c r="T53" i="7"/>
  <c r="W53" i="7" s="1"/>
  <c r="D53" i="7" s="1"/>
  <c r="D113" i="7" s="1"/>
  <c r="T70" i="7"/>
  <c r="W70" i="7" s="1"/>
  <c r="D70" i="7" s="1"/>
  <c r="D130" i="7" s="1"/>
  <c r="T69" i="7"/>
  <c r="W69" i="7" s="1"/>
  <c r="D69" i="7" s="1"/>
  <c r="D129" i="7" s="1"/>
  <c r="T47" i="7"/>
  <c r="W47" i="7" s="1"/>
  <c r="D47" i="7" s="1"/>
  <c r="D107" i="7" s="1"/>
  <c r="B146" i="7"/>
  <c r="B109" i="7"/>
  <c r="B116" i="7"/>
  <c r="B107" i="7"/>
  <c r="B139" i="7"/>
  <c r="B110" i="7"/>
  <c r="B128" i="7"/>
  <c r="B129" i="7"/>
  <c r="B130" i="7"/>
  <c r="B124" i="7"/>
  <c r="B140" i="7"/>
  <c r="B111" i="7"/>
  <c r="B131" i="7"/>
  <c r="B141" i="7"/>
  <c r="B143" i="7"/>
  <c r="B144" i="7"/>
  <c r="N111" i="7"/>
  <c r="B108" i="7"/>
  <c r="B137" i="7"/>
  <c r="B136" i="7"/>
  <c r="B127" i="7"/>
  <c r="B138" i="7"/>
  <c r="B113" i="7"/>
  <c r="B126" i="7"/>
  <c r="B145" i="7"/>
  <c r="B122" i="7"/>
  <c r="B114" i="7"/>
  <c r="B115" i="7"/>
  <c r="B123" i="7"/>
  <c r="B125" i="7"/>
  <c r="N112" i="7" l="1"/>
  <c r="L108" i="7"/>
  <c r="D46" i="7"/>
  <c r="D106" i="7" s="1"/>
  <c r="N108" i="7"/>
  <c r="N110" i="7"/>
  <c r="M113" i="7"/>
  <c r="L107" i="7"/>
  <c r="M108" i="7"/>
  <c r="M107" i="7"/>
  <c r="L110" i="7"/>
  <c r="L113" i="7"/>
  <c r="N103" i="7"/>
  <c r="N105" i="7"/>
  <c r="L112" i="7"/>
  <c r="N107" i="7"/>
  <c r="M103" i="7"/>
  <c r="L106" i="7"/>
  <c r="M106" i="7"/>
  <c r="L105" i="7"/>
  <c r="M112" i="7"/>
  <c r="M105" i="7"/>
  <c r="L111" i="7"/>
  <c r="M109" i="7"/>
  <c r="M111" i="7"/>
  <c r="L109" i="7"/>
  <c r="M104" i="7"/>
  <c r="N109" i="7"/>
  <c r="M110" i="7"/>
  <c r="N113" i="7"/>
  <c r="N106" i="7"/>
  <c r="L104" i="7"/>
  <c r="L103" i="7"/>
  <c r="N104" i="7"/>
  <c r="AN37" i="4"/>
  <c r="O108" i="7"/>
  <c r="O107" i="7" l="1"/>
  <c r="O110" i="7"/>
  <c r="O113" i="7"/>
  <c r="O104" i="7"/>
  <c r="O103" i="7"/>
  <c r="O105" i="7"/>
  <c r="O112" i="7"/>
  <c r="O111" i="7"/>
  <c r="O106" i="7"/>
  <c r="O109" i="7"/>
</calcChain>
</file>

<file path=xl/sharedStrings.xml><?xml version="1.0" encoding="utf-8"?>
<sst xmlns="http://schemas.openxmlformats.org/spreadsheetml/2006/main" count="1242" uniqueCount="218">
  <si>
    <t>Parameter</t>
  </si>
  <si>
    <t>Variable Name</t>
  </si>
  <si>
    <t>Low</t>
  </si>
  <si>
    <t>Mid</t>
  </si>
  <si>
    <t>High</t>
  </si>
  <si>
    <t>Pixels in Dark Zone</t>
  </si>
  <si>
    <t>N_pix</t>
  </si>
  <si>
    <t>Actuators</t>
  </si>
  <si>
    <t>N_act</t>
  </si>
  <si>
    <t>Number of wavelengths</t>
  </si>
  <si>
    <t>L</t>
  </si>
  <si>
    <t>Number of Pairwise Probes</t>
  </si>
  <si>
    <t>N_PWP</t>
  </si>
  <si>
    <t>Optical Model Size Parameter (Pixels on edge)</t>
  </si>
  <si>
    <t>N_prop</t>
  </si>
  <si>
    <t>BFGS Iterations</t>
  </si>
  <si>
    <t>N_BFGS</t>
  </si>
  <si>
    <t>EM Line Search Iterations</t>
  </si>
  <si>
    <t>N_μ</t>
  </si>
  <si>
    <t>Bright Field Pixels</t>
  </si>
  <si>
    <t>N_BF</t>
  </si>
  <si>
    <t>Total Pixels</t>
  </si>
  <si>
    <t>N_image</t>
  </si>
  <si>
    <t>Parameter Range</t>
  </si>
  <si>
    <t>Point Designs</t>
  </si>
  <si>
    <t>Validation</t>
  </si>
  <si>
    <t>HabEx</t>
  </si>
  <si>
    <t>LUVOIR</t>
  </si>
  <si>
    <t>Telescope Design Parameters</t>
  </si>
  <si>
    <t>HOWFSC Timing Parameters</t>
  </si>
  <si>
    <t>Method / Algorithm</t>
  </si>
  <si>
    <t>Fourier Optical Modeling</t>
  </si>
  <si>
    <t>Electric Field Conjugation (EFC)</t>
  </si>
  <si>
    <t>EFC with new Regularization</t>
  </si>
  <si>
    <t>EFC with precomputed Command Matrix</t>
  </si>
  <si>
    <t>Pairwise Probing</t>
  </si>
  <si>
    <t>Implicit EFC</t>
  </si>
  <si>
    <t>Automatic Differentiation EFC</t>
  </si>
  <si>
    <t>Stroke Minimization</t>
  </si>
  <si>
    <t>Extended Kalman Filtering (EKF)</t>
  </si>
  <si>
    <t>Self Coherent Camera (SCC)</t>
  </si>
  <si>
    <t>System Identification by Expectation Maximization</t>
  </si>
  <si>
    <t>Linear Dark Field Control (LDFC)</t>
  </si>
  <si>
    <t>Values for Calculation</t>
  </si>
  <si>
    <t>Edit This Column</t>
  </si>
  <si>
    <t>GEMM</t>
  </si>
  <si>
    <t>Homer</t>
  </si>
  <si>
    <t>Float</t>
  </si>
  <si>
    <t>Double</t>
  </si>
  <si>
    <t>Int</t>
  </si>
  <si>
    <t>T1040</t>
  </si>
  <si>
    <t>LS1046</t>
  </si>
  <si>
    <t>GEMV</t>
  </si>
  <si>
    <t>Gram</t>
  </si>
  <si>
    <t>QR</t>
  </si>
  <si>
    <t>2D FFT</t>
  </si>
  <si>
    <t>Raw Benchmark Data</t>
  </si>
  <si>
    <t>Log Transformed</t>
  </si>
  <si>
    <t>a</t>
  </si>
  <si>
    <t>k</t>
  </si>
  <si>
    <t>m</t>
  </si>
  <si>
    <t>b</t>
  </si>
  <si>
    <t>Processor</t>
  </si>
  <si>
    <t>Processor Type</t>
  </si>
  <si>
    <t>Year</t>
  </si>
  <si>
    <t>Intended for Space/Radiation Applications</t>
  </si>
  <si>
    <t>Memory Capacity GB (hardware interfaces)</t>
  </si>
  <si>
    <t>Memory Speed (GB/s)</t>
  </si>
  <si>
    <t>Compute Density (SP GFLOPS)</t>
  </si>
  <si>
    <t>Compute Density (fixed GOPS)</t>
  </si>
  <si>
    <t>Virtex-5QV</t>
  </si>
  <si>
    <t>FPGA</t>
  </si>
  <si>
    <t>Yes</t>
  </si>
  <si>
    <t>RTG4</t>
  </si>
  <si>
    <t>Polarfire</t>
  </si>
  <si>
    <t>--</t>
  </si>
  <si>
    <t>Kintex-7Q</t>
  </si>
  <si>
    <t>No</t>
  </si>
  <si>
    <t>Virtex-7Q</t>
  </si>
  <si>
    <t>RT Kintex Ultrascale</t>
  </si>
  <si>
    <t>NG-Ultra</t>
  </si>
  <si>
    <t>SmartFusion2</t>
  </si>
  <si>
    <t>Tegra X1</t>
  </si>
  <si>
    <t>GPU SoC</t>
  </si>
  <si>
    <t>RAD5545</t>
  </si>
  <si>
    <t>CPU (multi-core)</t>
  </si>
  <si>
    <t>RAD750</t>
  </si>
  <si>
    <t>CPU</t>
  </si>
  <si>
    <t>GR740</t>
  </si>
  <si>
    <t>GR712RC</t>
  </si>
  <si>
    <t>LS1046-Space</t>
  </si>
  <si>
    <t>HPSC</t>
  </si>
  <si>
    <t>E698PM</t>
  </si>
  <si>
    <t>CPU (multi-core) + DSP</t>
  </si>
  <si>
    <t>RC64</t>
  </si>
  <si>
    <t>CPU + DSP</t>
  </si>
  <si>
    <t>TI 66AK2Hxx</t>
  </si>
  <si>
    <t>DSP + CPU (multi-core)</t>
  </si>
  <si>
    <t>SnapDragon 855</t>
  </si>
  <si>
    <t>CPU (multi-core) + GPU + DSP</t>
  </si>
  <si>
    <t>XQR Versal</t>
  </si>
  <si>
    <t>CPU + DSP + FPGA SoC</t>
  </si>
  <si>
    <t>HISAOR</t>
  </si>
  <si>
    <t>AI SoC + GPU</t>
  </si>
  <si>
    <t>Max Compute Density GOPS (type independent)</t>
  </si>
  <si>
    <t>Test Design Results</t>
  </si>
  <si>
    <t>Algorithms</t>
  </si>
  <si>
    <t>Additional Assumptions</t>
  </si>
  <si>
    <t>Bytes per Element</t>
  </si>
  <si>
    <t>Field</t>
  </si>
  <si>
    <t>Value</t>
  </si>
  <si>
    <t>Note</t>
  </si>
  <si>
    <t>Doubles</t>
  </si>
  <si>
    <t>Case Study Parameter Copy (do not directy edit here)</t>
  </si>
  <si>
    <t>Memory Movement (Elements)</t>
  </si>
  <si>
    <t>Memory Use (Elements)</t>
  </si>
  <si>
    <t>Operations Count</t>
  </si>
  <si>
    <t>Memory Movement (Data)</t>
  </si>
  <si>
    <t>Memory Use (Data)</t>
  </si>
  <si>
    <t>Time (Copied from front sheet)</t>
  </si>
  <si>
    <t>Operations Rate</t>
  </si>
  <si>
    <t>Memory Speed</t>
  </si>
  <si>
    <t>Processor  Parameters</t>
  </si>
  <si>
    <t>Metric</t>
  </si>
  <si>
    <t>Compute Density (OPS)</t>
  </si>
  <si>
    <t>Memory Bandwidth (B/s)</t>
  </si>
  <si>
    <t>Memory Capacity (B)</t>
  </si>
  <si>
    <t>Memory Speed (B/s)</t>
  </si>
  <si>
    <t>Time (CD Bottlenecked)</t>
  </si>
  <si>
    <t>Time (Bus Bottlenecked)</t>
  </si>
  <si>
    <t>Time Estimate (s)</t>
  </si>
  <si>
    <t>Experimental Values</t>
  </si>
  <si>
    <t>Per Processor Space</t>
  </si>
  <si>
    <t>System Identification by EM</t>
  </si>
  <si>
    <t>Algorithms  \ Processors</t>
  </si>
  <si>
    <t>Time as a Fraction of Requirement</t>
  </si>
  <si>
    <t>Log10(Time)</t>
  </si>
  <si>
    <t>Telescope Summary</t>
  </si>
  <si>
    <t>Telescope \ Processors</t>
  </si>
  <si>
    <t>LUVOIR-A</t>
  </si>
  <si>
    <t>Time Requirement</t>
  </si>
  <si>
    <t>MID</t>
  </si>
  <si>
    <t>Test Case</t>
  </si>
  <si>
    <t>EFC</t>
  </si>
  <si>
    <t>Fourier Model</t>
  </si>
  <si>
    <t>PWP</t>
  </si>
  <si>
    <t>I-EFC</t>
  </si>
  <si>
    <t>AD-EFC</t>
  </si>
  <si>
    <t>SM</t>
  </si>
  <si>
    <t>EKF</t>
  </si>
  <si>
    <t>SCC</t>
  </si>
  <si>
    <t>System ID by EM</t>
  </si>
  <si>
    <t>LDFC</t>
  </si>
  <si>
    <t>For Plotting Script</t>
  </si>
  <si>
    <t>Benchmark Compute Performance</t>
  </si>
  <si>
    <t>Ops/s</t>
  </si>
  <si>
    <t>Size of Operations Required</t>
  </si>
  <si>
    <t>Scale Factor</t>
  </si>
  <si>
    <t>Case Study Parameters Copy (do not directy edit here)</t>
  </si>
  <si>
    <t>Total Time</t>
  </si>
  <si>
    <t>Total (s)</t>
  </si>
  <si>
    <t>Single Operation Time (s)</t>
  </si>
  <si>
    <t>Subtotal Time (s)</t>
  </si>
  <si>
    <t>Benchmarks</t>
  </si>
  <si>
    <t>Space Processor Models</t>
  </si>
  <si>
    <t>Desktop</t>
  </si>
  <si>
    <t>FFT</t>
  </si>
  <si>
    <t>Operations Model</t>
  </si>
  <si>
    <t>T1040/RAD5545</t>
  </si>
  <si>
    <t>Total</t>
  </si>
  <si>
    <t>Calculation Space</t>
  </si>
  <si>
    <t>Totals</t>
  </si>
  <si>
    <t>Shorter Names for Plotting</t>
  </si>
  <si>
    <t>EFC new Regularization</t>
  </si>
  <si>
    <t>EFC with CM</t>
  </si>
  <si>
    <t>Time as Fraction of Requirement</t>
  </si>
  <si>
    <t>Reqs</t>
  </si>
  <si>
    <t>Time</t>
  </si>
  <si>
    <t>EFC new alpha</t>
  </si>
  <si>
    <t>Rate (Ops/s)</t>
  </si>
  <si>
    <t>Summary</t>
  </si>
  <si>
    <t>Fiducial Size</t>
  </si>
  <si>
    <t>Ops</t>
  </si>
  <si>
    <t>Overall Summary</t>
  </si>
  <si>
    <t>Memory Use</t>
  </si>
  <si>
    <t>Summary Supressing Computer</t>
  </si>
  <si>
    <t>GEOMEAN</t>
  </si>
  <si>
    <t>Ops Count</t>
  </si>
  <si>
    <t>Memory Movement Count</t>
  </si>
  <si>
    <t>Memory Movement (Bytes)</t>
  </si>
  <si>
    <t>CD</t>
  </si>
  <si>
    <t>BW (bytes)</t>
  </si>
  <si>
    <t>Comparison to Metrics - Metrics Evaluation</t>
  </si>
  <si>
    <t>Metrics Ratio</t>
  </si>
  <si>
    <t>send_jacobian</t>
  </si>
  <si>
    <t>do_ATA</t>
  </si>
  <si>
    <t>do_decomposition</t>
  </si>
  <si>
    <t>do_EFC_with_decomp</t>
  </si>
  <si>
    <t>Run_optical_model</t>
  </si>
  <si>
    <t>Algorithm Times</t>
  </si>
  <si>
    <t>EFC with Precomputed Decomposition</t>
  </si>
  <si>
    <t>Jacobian Creation</t>
  </si>
  <si>
    <t>Benchmark Prediction</t>
  </si>
  <si>
    <t>Measured</t>
  </si>
  <si>
    <t>EFC with new regularization</t>
  </si>
  <si>
    <t>Metrics</t>
  </si>
  <si>
    <t>Benchmark</t>
  </si>
  <si>
    <t>Processor Values for Copying</t>
  </si>
  <si>
    <t>Benchmark Prediction (raw)</t>
  </si>
  <si>
    <t>Metrics Prediction (raw)</t>
  </si>
  <si>
    <t>Metrics Prediction</t>
  </si>
  <si>
    <t>do_EFC_with_cm</t>
  </si>
  <si>
    <t>send_command_matrix</t>
  </si>
  <si>
    <t>Copied Here for Plotting</t>
  </si>
  <si>
    <t>Times</t>
  </si>
  <si>
    <t>Command</t>
  </si>
  <si>
    <t>ZCU104</t>
  </si>
  <si>
    <t>RT Ultrascale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</si>
</sst>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E+00;;;"/>
  </numFmts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1"/>
      <color theme="1"/>
      <name val="Aptos Narrow"/>
      <family val="2"/>
      <scheme val="minor"/>
    </font>
    <font>
      <sz val="11"/>
      <color rgb="FF000000"/>
      <name val="Arial"/>
      <family val="2"/>
    </font>
    <font>
      <b/>
      <sz val="11"/>
      <color theme="1"/>
      <name val="Aptos Narrow"/>
      <family val="2"/>
    </font>
    <font>
      <sz val="11"/>
      <color theme="1"/>
      <name val="Aptos Narrow"/>
      <family val="2"/>
    </font>
  </fonts>
  <fills count="1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0" fontId="0" fillId="5" borderId="0" xfId="0" applyFill="1" applyBorder="1"/>
    <xf numFmtId="0" fontId="0" fillId="5" borderId="0" xfId="0" applyFill="1"/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1" fillId="0" borderId="0" xfId="0" applyFont="1"/>
    <xf numFmtId="0" fontId="0" fillId="0" borderId="0" xfId="0" applyFont="1"/>
    <xf numFmtId="0" fontId="4" fillId="6" borderId="0" xfId="0" applyFont="1" applyFill="1" applyAlignment="1">
      <alignment wrapText="1"/>
    </xf>
    <xf numFmtId="0" fontId="3" fillId="6" borderId="0" xfId="0" applyFont="1" applyFill="1" applyAlignment="1">
      <alignment horizontal="right" wrapText="1"/>
    </xf>
    <xf numFmtId="0" fontId="0" fillId="6" borderId="0" xfId="0" applyFill="1"/>
    <xf numFmtId="0" fontId="4" fillId="8" borderId="0" xfId="0" applyFont="1" applyFill="1" applyAlignment="1">
      <alignment wrapText="1"/>
    </xf>
    <xf numFmtId="0" fontId="3" fillId="8" borderId="0" xfId="0" applyFont="1" applyFill="1" applyAlignment="1">
      <alignment horizontal="right" wrapText="1"/>
    </xf>
    <xf numFmtId="0" fontId="0" fillId="8" borderId="0" xfId="0" applyFont="1" applyFill="1"/>
    <xf numFmtId="0" fontId="4" fillId="9" borderId="0" xfId="0" applyFont="1" applyFill="1" applyAlignment="1">
      <alignment wrapText="1"/>
    </xf>
    <xf numFmtId="0" fontId="3" fillId="9" borderId="0" xfId="0" applyFont="1" applyFill="1" applyAlignment="1">
      <alignment horizontal="right" wrapText="1"/>
    </xf>
    <xf numFmtId="0" fontId="0" fillId="9" borderId="0" xfId="0" applyFill="1"/>
    <xf numFmtId="0" fontId="1" fillId="0" borderId="1" xfId="0" applyFont="1" applyBorder="1"/>
    <xf numFmtId="0" fontId="0" fillId="6" borderId="1" xfId="0" applyFill="1" applyBorder="1"/>
    <xf numFmtId="0" fontId="0" fillId="8" borderId="1" xfId="0" applyFont="1" applyFill="1" applyBorder="1"/>
    <xf numFmtId="0" fontId="0" fillId="9" borderId="1" xfId="0" applyFill="1" applyBorder="1"/>
    <xf numFmtId="0" fontId="1" fillId="8" borderId="0" xfId="0" applyFont="1" applyFill="1"/>
    <xf numFmtId="0" fontId="1" fillId="6" borderId="0" xfId="0" applyFont="1" applyFill="1"/>
    <xf numFmtId="0" fontId="1" fillId="9" borderId="0" xfId="0" applyFont="1" applyFill="1"/>
    <xf numFmtId="0" fontId="2" fillId="0" borderId="0" xfId="1" applyAlignment="1">
      <alignment wrapText="1"/>
    </xf>
    <xf numFmtId="11" fontId="0" fillId="0" borderId="0" xfId="0" applyNumberFormat="1"/>
    <xf numFmtId="0" fontId="2" fillId="11" borderId="0" xfId="1" applyFill="1" applyAlignment="1">
      <alignment wrapText="1"/>
    </xf>
    <xf numFmtId="0" fontId="3" fillId="0" borderId="1" xfId="0" applyFont="1" applyBorder="1" applyAlignment="1">
      <alignment wrapText="1"/>
    </xf>
    <xf numFmtId="0" fontId="3" fillId="0" borderId="0" xfId="0" applyFont="1" applyBorder="1" applyAlignment="1">
      <alignment horizontal="right" wrapText="1"/>
    </xf>
    <xf numFmtId="0" fontId="3" fillId="0" borderId="0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4" xfId="0" applyFont="1" applyBorder="1" applyAlignment="1">
      <alignment horizontal="right" wrapText="1"/>
    </xf>
    <xf numFmtId="0" fontId="3" fillId="0" borderId="4" xfId="0" applyFont="1" applyBorder="1" applyAlignment="1">
      <alignment wrapText="1"/>
    </xf>
    <xf numFmtId="0" fontId="1" fillId="0" borderId="4" xfId="0" applyFont="1" applyBorder="1"/>
    <xf numFmtId="0" fontId="1" fillId="0" borderId="0" xfId="0" applyFont="1" applyBorder="1"/>
    <xf numFmtId="0" fontId="4" fillId="0" borderId="4" xfId="0" applyFont="1" applyBorder="1" applyAlignment="1">
      <alignment horizontal="right" wrapText="1"/>
    </xf>
    <xf numFmtId="0" fontId="4" fillId="0" borderId="0" xfId="0" applyFont="1" applyBorder="1" applyAlignment="1">
      <alignment horizontal="right" wrapText="1"/>
    </xf>
    <xf numFmtId="0" fontId="4" fillId="0" borderId="0" xfId="0" applyFont="1" applyBorder="1" applyAlignment="1">
      <alignment wrapText="1"/>
    </xf>
    <xf numFmtId="0" fontId="5" fillId="0" borderId="0" xfId="0" applyFont="1"/>
    <xf numFmtId="11" fontId="0" fillId="12" borderId="10" xfId="0" applyNumberFormat="1" applyFill="1" applyBorder="1"/>
    <xf numFmtId="11" fontId="0" fillId="12" borderId="0" xfId="0" applyNumberFormat="1" applyFill="1"/>
    <xf numFmtId="11" fontId="0" fillId="12" borderId="6" xfId="0" applyNumberFormat="1" applyFill="1" applyBorder="1"/>
    <xf numFmtId="0" fontId="0" fillId="0" borderId="0" xfId="0" applyFill="1" applyAlignment="1">
      <alignment horizontal="center"/>
    </xf>
    <xf numFmtId="0" fontId="0" fillId="0" borderId="0" xfId="0" applyFill="1" applyAlignment="1"/>
    <xf numFmtId="11" fontId="0" fillId="0" borderId="0" xfId="0" applyNumberFormat="1" applyBorder="1"/>
    <xf numFmtId="11" fontId="0" fillId="0" borderId="0" xfId="0" applyNumberFormat="1" applyFill="1" applyBorder="1"/>
    <xf numFmtId="11" fontId="0" fillId="0" borderId="11" xfId="0" applyNumberFormat="1" applyBorder="1"/>
    <xf numFmtId="11" fontId="0" fillId="0" borderId="12" xfId="0" applyNumberFormat="1" applyBorder="1"/>
    <xf numFmtId="11" fontId="0" fillId="0" borderId="13" xfId="0" applyNumberFormat="1" applyBorder="1"/>
    <xf numFmtId="11" fontId="0" fillId="0" borderId="14" xfId="0" applyNumberFormat="1" applyBorder="1"/>
    <xf numFmtId="11" fontId="0" fillId="0" borderId="15" xfId="0" applyNumberFormat="1" applyBorder="1"/>
    <xf numFmtId="11" fontId="0" fillId="0" borderId="16" xfId="0" applyNumberFormat="1" applyBorder="1"/>
    <xf numFmtId="11" fontId="0" fillId="0" borderId="17" xfId="0" applyNumberFormat="1" applyBorder="1"/>
    <xf numFmtId="11" fontId="0" fillId="0" borderId="18" xfId="0" applyNumberFormat="1" applyBorder="1"/>
    <xf numFmtId="2" fontId="0" fillId="0" borderId="11" xfId="0" applyNumberForma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6" xfId="0" applyBorder="1"/>
    <xf numFmtId="0" fontId="0" fillId="0" borderId="7" xfId="0" applyBorder="1" applyAlignment="1"/>
    <xf numFmtId="0" fontId="0" fillId="12" borderId="0" xfId="0" applyFill="1" applyAlignment="1">
      <alignment vertical="center"/>
    </xf>
    <xf numFmtId="2" fontId="0" fillId="0" borderId="0" xfId="0" applyNumberFormat="1" applyFill="1" applyBorder="1"/>
    <xf numFmtId="0" fontId="0" fillId="0" borderId="23" xfId="0" applyBorder="1"/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/>
    <xf numFmtId="0" fontId="0" fillId="0" borderId="0" xfId="0" applyFill="1" applyAlignment="1"/>
    <xf numFmtId="0" fontId="0" fillId="0" borderId="0" xfId="0" applyFont="1" applyBorder="1"/>
    <xf numFmtId="0" fontId="0" fillId="0" borderId="2" xfId="0" applyFont="1" applyBorder="1"/>
    <xf numFmtId="11" fontId="0" fillId="0" borderId="2" xfId="0" applyNumberFormat="1" applyBorder="1"/>
    <xf numFmtId="0" fontId="0" fillId="0" borderId="1" xfId="0" applyFont="1" applyBorder="1"/>
    <xf numFmtId="11" fontId="0" fillId="0" borderId="1" xfId="0" applyNumberFormat="1" applyFill="1" applyBorder="1"/>
    <xf numFmtId="11" fontId="0" fillId="0" borderId="1" xfId="0" applyNumberFormat="1" applyBorder="1"/>
    <xf numFmtId="0" fontId="0" fillId="15" borderId="7" xfId="0" applyFill="1" applyBorder="1"/>
    <xf numFmtId="11" fontId="0" fillId="15" borderId="1" xfId="0" applyNumberFormat="1" applyFill="1" applyBorder="1"/>
    <xf numFmtId="11" fontId="0" fillId="15" borderId="0" xfId="0" applyNumberFormat="1" applyFill="1" applyBorder="1"/>
    <xf numFmtId="11" fontId="0" fillId="15" borderId="2" xfId="0" applyNumberFormat="1" applyFill="1" applyBorder="1"/>
    <xf numFmtId="0" fontId="0" fillId="15" borderId="0" xfId="0" applyFill="1" applyBorder="1"/>
    <xf numFmtId="0" fontId="0" fillId="15" borderId="2" xfId="0" applyFill="1" applyBorder="1"/>
    <xf numFmtId="0" fontId="0" fillId="2" borderId="0" xfId="0" applyFill="1"/>
    <xf numFmtId="0" fontId="0" fillId="0" borderId="0" xfId="0" applyFill="1" applyBorder="1" applyAlignment="1"/>
    <xf numFmtId="0" fontId="0" fillId="7" borderId="0" xfId="0" applyFill="1"/>
    <xf numFmtId="0" fontId="3" fillId="0" borderId="0" xfId="0" applyFont="1" applyAlignment="1">
      <alignment horizontal="right" wrapText="1"/>
    </xf>
    <xf numFmtId="0" fontId="0" fillId="5" borderId="0" xfId="0" applyFill="1" applyAlignment="1">
      <alignment horizontal="center"/>
    </xf>
    <xf numFmtId="0" fontId="0" fillId="7" borderId="0" xfId="0" applyFill="1" applyAlignment="1"/>
    <xf numFmtId="0" fontId="0" fillId="0" borderId="0" xfId="0" applyFill="1" applyAlignment="1"/>
    <xf numFmtId="0" fontId="0" fillId="7" borderId="0" xfId="0" applyFill="1" applyAlignment="1">
      <alignment horizontal="center"/>
    </xf>
    <xf numFmtId="11" fontId="0" fillId="0" borderId="0" xfId="0" applyNumberFormat="1" applyFill="1"/>
    <xf numFmtId="164" fontId="0" fillId="0" borderId="0" xfId="0" applyNumberFormat="1"/>
    <xf numFmtId="0" fontId="0" fillId="0" borderId="10" xfId="0" applyBorder="1"/>
    <xf numFmtId="0" fontId="5" fillId="0" borderId="0" xfId="0" applyFont="1" applyFill="1"/>
    <xf numFmtId="0" fontId="0" fillId="0" borderId="4" xfId="0" applyFill="1" applyBorder="1"/>
    <xf numFmtId="0" fontId="0" fillId="0" borderId="7" xfId="0" applyFill="1" applyBorder="1"/>
    <xf numFmtId="0" fontId="0" fillId="0" borderId="1" xfId="0" applyFill="1" applyBorder="1"/>
    <xf numFmtId="11" fontId="0" fillId="0" borderId="0" xfId="0" applyNumberFormat="1" applyFill="1" applyBorder="1" applyAlignment="1"/>
    <xf numFmtId="0" fontId="0" fillId="0" borderId="0" xfId="0" applyFill="1" applyAlignment="1">
      <alignment horizontal="center"/>
    </xf>
    <xf numFmtId="0" fontId="0" fillId="0" borderId="0" xfId="0" applyFill="1" applyAlignment="1"/>
    <xf numFmtId="0" fontId="4" fillId="0" borderId="0" xfId="0" applyFont="1" applyAlignment="1">
      <alignment vertical="center" wrapText="1"/>
    </xf>
    <xf numFmtId="0" fontId="0" fillId="0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17" borderId="0" xfId="0" applyFill="1" applyAlignment="1">
      <alignment horizontal="center"/>
    </xf>
    <xf numFmtId="0" fontId="6" fillId="0" borderId="0" xfId="0" applyFont="1"/>
    <xf numFmtId="0" fontId="3" fillId="0" borderId="0" xfId="0" applyFont="1"/>
    <xf numFmtId="11" fontId="0" fillId="0" borderId="0" xfId="0" applyNumberFormat="1" applyFill="1" applyAlignment="1"/>
    <xf numFmtId="0" fontId="4" fillId="0" borderId="0" xfId="0" applyFont="1" applyFill="1" applyAlignment="1">
      <alignment wrapText="1"/>
    </xf>
    <xf numFmtId="0" fontId="3" fillId="0" borderId="0" xfId="0" applyFont="1" applyFill="1" applyAlignment="1">
      <alignment horizontal="right" wrapText="1"/>
    </xf>
    <xf numFmtId="0" fontId="1" fillId="0" borderId="0" xfId="0" applyFont="1" applyFill="1"/>
    <xf numFmtId="0" fontId="7" fillId="0" borderId="0" xfId="0" applyFont="1" applyAlignment="1">
      <alignment wrapText="1"/>
    </xf>
    <xf numFmtId="0" fontId="0" fillId="8" borderId="1" xfId="0" applyFill="1" applyBorder="1"/>
    <xf numFmtId="0" fontId="0" fillId="8" borderId="0" xfId="0" applyFill="1"/>
    <xf numFmtId="0" fontId="3" fillId="6" borderId="0" xfId="0" applyFont="1" applyFill="1" applyAlignment="1">
      <alignment wrapText="1"/>
    </xf>
    <xf numFmtId="0" fontId="7" fillId="8" borderId="0" xfId="0" applyFont="1" applyFill="1" applyAlignment="1">
      <alignment wrapText="1"/>
    </xf>
    <xf numFmtId="0" fontId="8" fillId="8" borderId="0" xfId="0" applyFont="1" applyFill="1" applyAlignment="1">
      <alignment horizontal="right" wrapText="1"/>
    </xf>
    <xf numFmtId="11" fontId="3" fillId="0" borderId="0" xfId="0" applyNumberFormat="1" applyFont="1" applyAlignment="1">
      <alignment horizontal="right" wrapText="1"/>
    </xf>
    <xf numFmtId="0" fontId="0" fillId="14" borderId="0" xfId="0" applyFill="1" applyAlignment="1">
      <alignment horizontal="center"/>
    </xf>
    <xf numFmtId="0" fontId="0" fillId="0" borderId="0" xfId="0" applyFill="1" applyAlignme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Alignment="1">
      <alignment vertical="center" wrapText="1"/>
    </xf>
    <xf numFmtId="0" fontId="0" fillId="7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2" borderId="0" xfId="0" applyFill="1" applyAlignment="1">
      <alignment horizontal="center" vertical="center"/>
    </xf>
    <xf numFmtId="0" fontId="1" fillId="7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9" xfId="0" applyFill="1" applyBorder="1" applyAlignment="1"/>
  </cellXfs>
  <cellStyles count="2">
    <cellStyle name="Hyperlink" xfId="1" builtinId="8"/>
    <cellStyle name="Normal" xfId="0" builtinId="0"/>
  </cellStyles>
  <dxfs count="8"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colors>
    <mruColors>
      <color rgb="FFFA9500"/>
      <color rgb="FF0099CC"/>
      <color rgb="FFFF9933"/>
      <color rgb="FFE97433"/>
      <color rgb="FFFF3399"/>
      <color rgb="FF00CC99"/>
      <color rgb="FFFF66CC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Desktop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6700372473269848"/>
                  <c:y val="0.142352531961563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'Processor Benchmarks'!$M$4:$P$4</c:f>
              <c:numCache>
                <c:formatCode>General</c:formatCode>
                <c:ptCount val="4"/>
                <c:pt idx="0">
                  <c:v>9.0308998699194358</c:v>
                </c:pt>
                <c:pt idx="1">
                  <c:v>9.9339898569113796</c:v>
                </c:pt>
                <c:pt idx="2">
                  <c:v>10.837079843903323</c:v>
                </c:pt>
                <c:pt idx="3">
                  <c:v>11.740169830895267</c:v>
                </c:pt>
              </c:numCache>
            </c:numRef>
          </c:xVal>
          <c:yVal>
            <c:numRef>
              <c:f>'Processor Benchmarks'!$M$6:$P$6</c:f>
              <c:numCache>
                <c:formatCode>General</c:formatCode>
                <c:ptCount val="4"/>
                <c:pt idx="0">
                  <c:v>-0.8861067614861573</c:v>
                </c:pt>
                <c:pt idx="1">
                  <c:v>1.4392415588944539E-2</c:v>
                </c:pt>
                <c:pt idx="2">
                  <c:v>1.0180640240443561</c:v>
                </c:pt>
                <c:pt idx="3">
                  <c:v>1.9710950963695479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33-4BEE-83D2-2AD4EE7AC88B}"/>
            </c:ext>
          </c:extLst>
        </c:ser>
        <c:ser>
          <c:idx val="1"/>
          <c:order val="1"/>
          <c:tx>
            <c:strRef>
              <c:f>'Processor Benchmarks'!$A$8:$A$10</c:f>
              <c:strCache>
                <c:ptCount val="1"/>
                <c:pt idx="0">
                  <c:v>T1040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'Processor Benchmarks'!$M$4:$O$4</c:f>
              <c:numCache>
                <c:formatCode>General</c:formatCode>
                <c:ptCount val="3"/>
                <c:pt idx="0">
                  <c:v>9.0308998699194358</c:v>
                </c:pt>
                <c:pt idx="1">
                  <c:v>9.9339898569113796</c:v>
                </c:pt>
                <c:pt idx="2">
                  <c:v>10.837079843903323</c:v>
                </c:pt>
              </c:numCache>
            </c:numRef>
          </c:xVal>
          <c:yVal>
            <c:numRef>
              <c:f>'Processor Benchmarks'!$M$9:$O$9</c:f>
              <c:numCache>
                <c:formatCode>General</c:formatCode>
                <c:ptCount val="3"/>
                <c:pt idx="0">
                  <c:v>0.50628837230631862</c:v>
                </c:pt>
                <c:pt idx="1">
                  <c:v>1.4866644672366707</c:v>
                </c:pt>
                <c:pt idx="2">
                  <c:v>2.9266806868799025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33-4BEE-83D2-2AD4EE7AC88B}"/>
            </c:ext>
          </c:extLst>
        </c:ser>
        <c:ser>
          <c:idx val="2"/>
          <c:order val="2"/>
          <c:tx>
            <c:strRef>
              <c:f>'Processor Benchmarks'!$A$11:$A$13</c:f>
              <c:strCache>
                <c:ptCount val="1"/>
                <c:pt idx="0">
                  <c:v>LS1046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4630419556205413"/>
                  <c:y val="-1.8121372306367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'Processor Benchmarks'!$M$4:$O$4</c:f>
              <c:numCache>
                <c:formatCode>General</c:formatCode>
                <c:ptCount val="3"/>
                <c:pt idx="0">
                  <c:v>9.0308998699194358</c:v>
                </c:pt>
                <c:pt idx="1">
                  <c:v>9.9339898569113796</c:v>
                </c:pt>
                <c:pt idx="2">
                  <c:v>10.837079843903323</c:v>
                </c:pt>
              </c:numCache>
            </c:numRef>
          </c:xVal>
          <c:yVal>
            <c:numRef>
              <c:f>'Processor Benchmarks'!$M$12:$O$12</c:f>
              <c:numCache>
                <c:formatCode>General</c:formatCode>
                <c:ptCount val="3"/>
                <c:pt idx="0">
                  <c:v>0.44979995116541022</c:v>
                </c:pt>
                <c:pt idx="1">
                  <c:v>1.5279898681186594</c:v>
                </c:pt>
                <c:pt idx="2">
                  <c:v>2.3071084443782146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33-4BEE-83D2-2AD4EE7AC88B}"/>
            </c:ext>
          </c:extLst>
        </c:ser>
        <c:ser>
          <c:idx val="3"/>
          <c:order val="3"/>
          <c:tx>
            <c:strRef>
              <c:f>'Processor Benchmarks'!$A$14</c:f>
              <c:strCache>
                <c:ptCount val="1"/>
                <c:pt idx="0">
                  <c:v>ZCU104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'Processor Benchmarks'!$M$4:$O$4</c:f>
              <c:numCache>
                <c:formatCode>General</c:formatCode>
                <c:ptCount val="3"/>
                <c:pt idx="0">
                  <c:v>9.0308998699194358</c:v>
                </c:pt>
                <c:pt idx="1">
                  <c:v>9.9339898569113796</c:v>
                </c:pt>
                <c:pt idx="2">
                  <c:v>10.837079843903323</c:v>
                </c:pt>
              </c:numCache>
            </c:numRef>
          </c:xVal>
          <c:yVal>
            <c:numRef>
              <c:f>'Processor Benchmarks'!$M$14:$O$14</c:f>
              <c:numCache>
                <c:formatCode>General</c:formatCode>
                <c:ptCount val="3"/>
                <c:pt idx="0">
                  <c:v>-0.24199699070020086</c:v>
                </c:pt>
                <c:pt idx="1">
                  <c:v>0.66152874013198248</c:v>
                </c:pt>
                <c:pt idx="2">
                  <c:v>1.5640739789771467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57-45B3-A838-AE7A223B2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14511"/>
        <c:axId val="178616911"/>
      </c:scatterChart>
      <c:valAx>
        <c:axId val="178614511"/>
        <c:scaling>
          <c:orientation val="minMax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log10(ops)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16911"/>
        <c:crosses val="autoZero"/>
        <c:crossBetween val="midCat"/>
      </c:valAx>
      <c:valAx>
        <c:axId val="1786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14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layout>
        <c:manualLayout>
          <c:xMode val="edge"/>
          <c:yMode val="edge"/>
          <c:x val="0.70836964191205709"/>
          <c:y val="0.2209372820949872"/>
          <c:w val="0.26985028461318677"/>
          <c:h val="0.728387233348352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GEMV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Desktop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40757254695503"/>
                  <c:y val="0.179942915291777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'Processor Benchmarks'!$M$18:$P$18</c:f>
              <c:numCache>
                <c:formatCode>General</c:formatCode>
                <c:ptCount val="4"/>
                <c:pt idx="0">
                  <c:v>7.3216299089436054</c:v>
                </c:pt>
                <c:pt idx="1">
                  <c:v>7.9236899002715671</c:v>
                </c:pt>
                <c:pt idx="2">
                  <c:v>8.5257498915995296</c:v>
                </c:pt>
                <c:pt idx="3">
                  <c:v>9.1278098829274921</c:v>
                </c:pt>
              </c:numCache>
            </c:numRef>
          </c:xVal>
          <c:yVal>
            <c:numRef>
              <c:f>'Processor Benchmarks'!$M$20:$P$20</c:f>
              <c:numCache>
                <c:formatCode>General</c:formatCode>
                <c:ptCount val="4"/>
                <c:pt idx="0">
                  <c:v>-1.9164257203260087</c:v>
                </c:pt>
                <c:pt idx="1">
                  <c:v>-1.3185688003398006</c:v>
                </c:pt>
                <c:pt idx="2">
                  <c:v>-0.70468585402073536</c:v>
                </c:pt>
                <c:pt idx="3">
                  <c:v>-0.10737732686762148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EF-48C0-9F1D-9E177332E843}"/>
            </c:ext>
          </c:extLst>
        </c:ser>
        <c:ser>
          <c:idx val="1"/>
          <c:order val="1"/>
          <c:tx>
            <c:strRef>
              <c:f>'Processor Benchmarks'!$A$8:$A$10</c:f>
              <c:strCache>
                <c:ptCount val="1"/>
                <c:pt idx="0">
                  <c:v>T1040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0069745990393939E-2"/>
                  <c:y val="-4.73042369083686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'Processor Benchmarks'!$M$18:$P$18</c:f>
              <c:numCache>
                <c:formatCode>General</c:formatCode>
                <c:ptCount val="4"/>
                <c:pt idx="0">
                  <c:v>7.3216299089436054</c:v>
                </c:pt>
                <c:pt idx="1">
                  <c:v>7.9236899002715671</c:v>
                </c:pt>
                <c:pt idx="2">
                  <c:v>8.5257498915995296</c:v>
                </c:pt>
                <c:pt idx="3">
                  <c:v>9.1278098829274921</c:v>
                </c:pt>
              </c:numCache>
            </c:numRef>
          </c:xVal>
          <c:yVal>
            <c:numRef>
              <c:f>'Processor Benchmarks'!$M$23:$O$23</c:f>
              <c:numCache>
                <c:formatCode>General</c:formatCode>
                <c:ptCount val="3"/>
                <c:pt idx="0">
                  <c:v>-0.5393952922186992</c:v>
                </c:pt>
                <c:pt idx="1">
                  <c:v>6.2642518027928307E-2</c:v>
                </c:pt>
                <c:pt idx="2">
                  <c:v>0.66265689369144365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EF-48C0-9F1D-9E177332E843}"/>
            </c:ext>
          </c:extLst>
        </c:ser>
        <c:ser>
          <c:idx val="2"/>
          <c:order val="2"/>
          <c:tx>
            <c:strRef>
              <c:f>'Processor Benchmarks'!$A$11:$A$13</c:f>
              <c:strCache>
                <c:ptCount val="1"/>
                <c:pt idx="0">
                  <c:v>LS1046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691956961065058"/>
                  <c:y val="-7.10028489818948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'Processor Benchmarks'!$M$18:$P$18</c:f>
              <c:numCache>
                <c:formatCode>General</c:formatCode>
                <c:ptCount val="4"/>
                <c:pt idx="0">
                  <c:v>7.3216299089436054</c:v>
                </c:pt>
                <c:pt idx="1">
                  <c:v>7.9236899002715671</c:v>
                </c:pt>
                <c:pt idx="2">
                  <c:v>8.5257498915995296</c:v>
                </c:pt>
                <c:pt idx="3">
                  <c:v>9.1278098829274921</c:v>
                </c:pt>
              </c:numCache>
            </c:numRef>
          </c:xVal>
          <c:yVal>
            <c:numRef>
              <c:f>'Processor Benchmarks'!$M$26:$P$26</c:f>
              <c:numCache>
                <c:formatCode>General</c:formatCode>
                <c:ptCount val="4"/>
                <c:pt idx="0">
                  <c:v>-1.4345181814008565</c:v>
                </c:pt>
                <c:pt idx="1">
                  <c:v>-0.83064008785267451</c:v>
                </c:pt>
                <c:pt idx="2">
                  <c:v>-0.22550055238537392</c:v>
                </c:pt>
                <c:pt idx="3">
                  <c:v>0.37235460754843336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0EF-48C0-9F1D-9E177332E843}"/>
            </c:ext>
          </c:extLst>
        </c:ser>
        <c:ser>
          <c:idx val="3"/>
          <c:order val="3"/>
          <c:tx>
            <c:strRef>
              <c:f>'Processor Benchmarks'!$A$28</c:f>
              <c:strCache>
                <c:ptCount val="1"/>
                <c:pt idx="0">
                  <c:v>ZCU104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'Processor Benchmarks'!$J$18:$M$18</c:f>
              <c:numCache>
                <c:formatCode>General</c:formatCode>
                <c:ptCount val="4"/>
                <c:pt idx="0">
                  <c:v>5.5154499349597179</c:v>
                </c:pt>
                <c:pt idx="1">
                  <c:v>6.1175099262876804</c:v>
                </c:pt>
                <c:pt idx="2">
                  <c:v>6.7195699176156429</c:v>
                </c:pt>
                <c:pt idx="3">
                  <c:v>7.3216299089436054</c:v>
                </c:pt>
              </c:numCache>
            </c:numRef>
          </c:xVal>
          <c:yVal>
            <c:numRef>
              <c:f>'Processor Benchmarks'!$J$29:$M$29</c:f>
              <c:numCache>
                <c:formatCode>General</c:formatCode>
                <c:ptCount val="4"/>
                <c:pt idx="0">
                  <c:v>-2.8416375079047502</c:v>
                </c:pt>
                <c:pt idx="1">
                  <c:v>-2.3205721033878812</c:v>
                </c:pt>
                <c:pt idx="2">
                  <c:v>-1.3695721249749762</c:v>
                </c:pt>
                <c:pt idx="3">
                  <c:v>-0.769551078621726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5D-4F12-B35E-66E4D391E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14511"/>
        <c:axId val="178616911"/>
      </c:scatterChart>
      <c:valAx>
        <c:axId val="178614511"/>
        <c:scaling>
          <c:orientation val="minMax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log10(ops)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16911"/>
        <c:crosses val="autoZero"/>
        <c:crossBetween val="midCat"/>
      </c:valAx>
      <c:valAx>
        <c:axId val="1786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14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Desktop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6700372473269848"/>
                  <c:y val="0.142352531961563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'Processor Benchmarks'!$M$32:$P$32</c:f>
              <c:numCache>
                <c:formatCode>General</c:formatCode>
                <c:ptCount val="4"/>
                <c:pt idx="0">
                  <c:v>10.331929865583417</c:v>
                </c:pt>
                <c:pt idx="1">
                  <c:v>11.235019852575361</c:v>
                </c:pt>
                <c:pt idx="2">
                  <c:v>12.138109839567305</c:v>
                </c:pt>
                <c:pt idx="3">
                  <c:v>13.041199826559248</c:v>
                </c:pt>
              </c:numCache>
            </c:numRef>
          </c:xVal>
          <c:yVal>
            <c:numRef>
              <c:f>'Processor Benchmarks'!$M$34:$O$34</c:f>
              <c:numCache>
                <c:formatCode>General</c:formatCode>
                <c:ptCount val="3"/>
                <c:pt idx="0">
                  <c:v>0.22749386310804884</c:v>
                </c:pt>
                <c:pt idx="1">
                  <c:v>1.0778865319710871</c:v>
                </c:pt>
                <c:pt idx="2">
                  <c:v>1.9770276510594704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2E-4FE8-8EA5-BAA031521732}"/>
            </c:ext>
          </c:extLst>
        </c:ser>
        <c:ser>
          <c:idx val="1"/>
          <c:order val="1"/>
          <c:tx>
            <c:strRef>
              <c:f>'Processor Benchmarks'!$A$8:$A$10</c:f>
              <c:strCache>
                <c:ptCount val="1"/>
                <c:pt idx="0">
                  <c:v>T1040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3547946979761224E-2"/>
                  <c:y val="-3.07210120735007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'Processor Benchmarks'!$M$32:$O$32</c:f>
              <c:numCache>
                <c:formatCode>General</c:formatCode>
                <c:ptCount val="3"/>
                <c:pt idx="0">
                  <c:v>10.331929865583417</c:v>
                </c:pt>
                <c:pt idx="1">
                  <c:v>11.235019852575361</c:v>
                </c:pt>
                <c:pt idx="2">
                  <c:v>12.138109839567305</c:v>
                </c:pt>
              </c:numCache>
            </c:numRef>
          </c:xVal>
          <c:yVal>
            <c:numRef>
              <c:f>'Processor Benchmarks'!$M$37:$O$37</c:f>
              <c:numCache>
                <c:formatCode>General</c:formatCode>
                <c:ptCount val="3"/>
                <c:pt idx="0">
                  <c:v>1.7290702474305935</c:v>
                </c:pt>
                <c:pt idx="1">
                  <c:v>2.6419909573343547</c:v>
                </c:pt>
                <c:pt idx="2">
                  <c:v>3.7335759648067675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42E-4FE8-8EA5-BAA031521732}"/>
            </c:ext>
          </c:extLst>
        </c:ser>
        <c:ser>
          <c:idx val="2"/>
          <c:order val="2"/>
          <c:tx>
            <c:strRef>
              <c:f>'Processor Benchmarks'!$A$11:$A$13</c:f>
              <c:strCache>
                <c:ptCount val="1"/>
                <c:pt idx="0">
                  <c:v>LS1046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4630419556205413"/>
                  <c:y val="-1.8121372306367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'Processor Benchmarks'!$M$32:$O$32</c:f>
              <c:numCache>
                <c:formatCode>General</c:formatCode>
                <c:ptCount val="3"/>
                <c:pt idx="0">
                  <c:v>10.331929865583417</c:v>
                </c:pt>
                <c:pt idx="1">
                  <c:v>11.235019852575361</c:v>
                </c:pt>
                <c:pt idx="2">
                  <c:v>12.138109839567305</c:v>
                </c:pt>
              </c:numCache>
            </c:numRef>
          </c:xVal>
          <c:yVal>
            <c:numRef>
              <c:f>'Processor Benchmarks'!$M$40:$O$40</c:f>
              <c:numCache>
                <c:formatCode>General</c:formatCode>
                <c:ptCount val="3"/>
                <c:pt idx="0">
                  <c:v>1.3664773106823043</c:v>
                </c:pt>
                <c:pt idx="1">
                  <c:v>2.4586740850454736</c:v>
                </c:pt>
                <c:pt idx="2">
                  <c:v>3.3026577428326584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42E-4FE8-8EA5-BAA031521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14511"/>
        <c:axId val="178616911"/>
      </c:scatterChart>
      <c:valAx>
        <c:axId val="178614511"/>
        <c:scaling>
          <c:orientation val="minMax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log10(ops)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16911"/>
        <c:crosses val="autoZero"/>
        <c:crossBetween val="midCat"/>
      </c:valAx>
      <c:valAx>
        <c:axId val="1786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14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Desktop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6700372473269848"/>
                  <c:y val="0.142352531961563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'Processor Benchmarks'!$M$46:$O$46</c:f>
              <c:numCache>
                <c:formatCode>General</c:formatCode>
                <c:ptCount val="3"/>
                <c:pt idx="0">
                  <c:v>9.0308998699194358</c:v>
                </c:pt>
                <c:pt idx="1">
                  <c:v>9.9339898569113796</c:v>
                </c:pt>
                <c:pt idx="2">
                  <c:v>10.837079843903323</c:v>
                </c:pt>
              </c:numCache>
            </c:numRef>
          </c:xVal>
          <c:yVal>
            <c:numRef>
              <c:f>'Processor Benchmarks'!$M$48:$N$48</c:f>
              <c:numCache>
                <c:formatCode>General</c:formatCode>
                <c:ptCount val="2"/>
                <c:pt idx="0">
                  <c:v>0.4311003731685456</c:v>
                </c:pt>
                <c:pt idx="1">
                  <c:v>1.5389443218898116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E2-4791-A5B3-88C9D8E6155A}"/>
            </c:ext>
          </c:extLst>
        </c:ser>
        <c:ser>
          <c:idx val="1"/>
          <c:order val="1"/>
          <c:tx>
            <c:strRef>
              <c:f>'Processor Benchmarks'!$A$8:$A$10</c:f>
              <c:strCache>
                <c:ptCount val="1"/>
                <c:pt idx="0">
                  <c:v>T1040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3547946979761224E-2"/>
                  <c:y val="-3.07210120735007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'Processor Benchmarks'!$M$46:$N$46</c:f>
              <c:numCache>
                <c:formatCode>General</c:formatCode>
                <c:ptCount val="2"/>
                <c:pt idx="0">
                  <c:v>9.0308998699194358</c:v>
                </c:pt>
                <c:pt idx="1">
                  <c:v>9.9339898569113796</c:v>
                </c:pt>
              </c:numCache>
            </c:numRef>
          </c:xVal>
          <c:yVal>
            <c:numRef>
              <c:f>'Processor Benchmarks'!$M$51:$N$51</c:f>
              <c:numCache>
                <c:formatCode>General</c:formatCode>
                <c:ptCount val="2"/>
                <c:pt idx="0">
                  <c:v>2.2858795079729779</c:v>
                </c:pt>
                <c:pt idx="1">
                  <c:v>3.267631468097143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E2-4791-A5B3-88C9D8E6155A}"/>
            </c:ext>
          </c:extLst>
        </c:ser>
        <c:ser>
          <c:idx val="2"/>
          <c:order val="2"/>
          <c:tx>
            <c:strRef>
              <c:f>'Processor Benchmarks'!$A$11:$A$13</c:f>
              <c:strCache>
                <c:ptCount val="1"/>
                <c:pt idx="0">
                  <c:v>LS1046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4630419556205413"/>
                  <c:y val="-1.8121372306367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'Processor Benchmarks'!$M$46:$N$46</c:f>
              <c:numCache>
                <c:formatCode>General</c:formatCode>
                <c:ptCount val="2"/>
                <c:pt idx="0">
                  <c:v>9.0308998699194358</c:v>
                </c:pt>
                <c:pt idx="1">
                  <c:v>9.9339898569113796</c:v>
                </c:pt>
              </c:numCache>
            </c:numRef>
          </c:xVal>
          <c:yVal>
            <c:numRef>
              <c:f>'Processor Benchmarks'!$M$54:$N$54</c:f>
              <c:numCache>
                <c:formatCode>General</c:formatCode>
                <c:ptCount val="2"/>
                <c:pt idx="0">
                  <c:v>1.5081810257219022</c:v>
                </c:pt>
                <c:pt idx="1">
                  <c:v>2.6238983597369101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6E2-4791-A5B3-88C9D8E6155A}"/>
            </c:ext>
          </c:extLst>
        </c:ser>
        <c:ser>
          <c:idx val="3"/>
          <c:order val="3"/>
          <c:tx>
            <c:strRef>
              <c:f>'Processor Benchmarks'!$A$56</c:f>
              <c:strCache>
                <c:ptCount val="1"/>
                <c:pt idx="0">
                  <c:v>ZCU104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'Processor Benchmarks'!$M$46:$N$46</c:f>
              <c:numCache>
                <c:formatCode>General</c:formatCode>
                <c:ptCount val="2"/>
                <c:pt idx="0">
                  <c:v>9.0308998699194358</c:v>
                </c:pt>
                <c:pt idx="1">
                  <c:v>9.9339898569113796</c:v>
                </c:pt>
              </c:numCache>
            </c:numRef>
          </c:xVal>
          <c:yVal>
            <c:numRef>
              <c:f>'Processor Benchmarks'!$M$56:$N$56</c:f>
              <c:numCache>
                <c:formatCode>General</c:formatCode>
                <c:ptCount val="2"/>
                <c:pt idx="0">
                  <c:v>0.91009054559406821</c:v>
                </c:pt>
                <c:pt idx="1">
                  <c:v>1.816241299991783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DF-43AA-84ED-0215D2058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14511"/>
        <c:axId val="178616911"/>
      </c:scatterChart>
      <c:valAx>
        <c:axId val="178614511"/>
        <c:scaling>
          <c:orientation val="minMax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log10(ops)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16911"/>
        <c:crosses val="autoZero"/>
        <c:crossBetween val="midCat"/>
      </c:valAx>
      <c:valAx>
        <c:axId val="1786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14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Desktop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6861916924388529"/>
                  <c:y val="0.105317873615626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'Processor Benchmarks'!$M$60:$O$60</c:f>
              <c:numCache>
                <c:formatCode>General</c:formatCode>
                <c:ptCount val="3"/>
                <c:pt idx="0">
                  <c:v>7.3216299089436054</c:v>
                </c:pt>
                <c:pt idx="1">
                  <c:v>7.9650825854297924</c:v>
                </c:pt>
                <c:pt idx="2">
                  <c:v>8.6049311376471547</c:v>
                </c:pt>
              </c:numCache>
            </c:numRef>
          </c:xVal>
          <c:yVal>
            <c:numRef>
              <c:f>'Processor Benchmarks'!$M$62:$O$62</c:f>
              <c:numCache>
                <c:formatCode>General</c:formatCode>
                <c:ptCount val="3"/>
                <c:pt idx="0">
                  <c:v>-1.1014887282132566</c:v>
                </c:pt>
                <c:pt idx="1">
                  <c:v>-0.28881049853675772</c:v>
                </c:pt>
                <c:pt idx="2">
                  <c:v>0.4060696954589299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37-4C42-A1E6-079D8C93BE72}"/>
            </c:ext>
          </c:extLst>
        </c:ser>
        <c:ser>
          <c:idx val="1"/>
          <c:order val="1"/>
          <c:tx>
            <c:strRef>
              <c:f>'Processor Benchmarks'!$A$8:$A$10</c:f>
              <c:strCache>
                <c:ptCount val="1"/>
                <c:pt idx="0">
                  <c:v>T1040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3547946979761224E-2"/>
                  <c:y val="-3.07210120735007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'Processor Benchmarks'!$M$60:$O$60</c:f>
              <c:numCache>
                <c:formatCode>General</c:formatCode>
                <c:ptCount val="3"/>
                <c:pt idx="0">
                  <c:v>7.3216299089436054</c:v>
                </c:pt>
                <c:pt idx="1">
                  <c:v>7.9650825854297924</c:v>
                </c:pt>
                <c:pt idx="2">
                  <c:v>8.6049311376471547</c:v>
                </c:pt>
              </c:numCache>
            </c:numRef>
          </c:xVal>
          <c:yVal>
            <c:numRef>
              <c:f>'Processor Benchmarks'!$M$65:$O$65</c:f>
              <c:numCache>
                <c:formatCode>General</c:formatCode>
                <c:ptCount val="3"/>
                <c:pt idx="0">
                  <c:v>0.42645107406374677</c:v>
                </c:pt>
                <c:pt idx="1">
                  <c:v>1.1045574053353899</c:v>
                </c:pt>
                <c:pt idx="2">
                  <c:v>1.8253661757995141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37-4C42-A1E6-079D8C93BE72}"/>
            </c:ext>
          </c:extLst>
        </c:ser>
        <c:ser>
          <c:idx val="2"/>
          <c:order val="2"/>
          <c:tx>
            <c:strRef>
              <c:f>'Processor Benchmarks'!$A$11:$A$13</c:f>
              <c:strCache>
                <c:ptCount val="1"/>
                <c:pt idx="0">
                  <c:v>LS1046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4630419556205413"/>
                  <c:y val="-1.8121372306367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'Processor Benchmarks'!$M$60:$O$60</c:f>
              <c:numCache>
                <c:formatCode>General</c:formatCode>
                <c:ptCount val="3"/>
                <c:pt idx="0">
                  <c:v>7.3216299089436054</c:v>
                </c:pt>
                <c:pt idx="1">
                  <c:v>7.9650825854297924</c:v>
                </c:pt>
                <c:pt idx="2">
                  <c:v>8.6049311376471547</c:v>
                </c:pt>
              </c:numCache>
            </c:numRef>
          </c:xVal>
          <c:yVal>
            <c:numRef>
              <c:f>'Processor Benchmarks'!$M$68:$O$68</c:f>
              <c:numCache>
                <c:formatCode>General</c:formatCode>
                <c:ptCount val="3"/>
                <c:pt idx="0">
                  <c:v>2.1025063344069592E-2</c:v>
                </c:pt>
                <c:pt idx="1">
                  <c:v>0.65110668593389842</c:v>
                </c:pt>
                <c:pt idx="2">
                  <c:v>1.3201218693473593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137-4C42-A1E6-079D8C93BE72}"/>
            </c:ext>
          </c:extLst>
        </c:ser>
        <c:ser>
          <c:idx val="3"/>
          <c:order val="3"/>
          <c:tx>
            <c:strRef>
              <c:f>'Processor Benchmarks'!$A$70</c:f>
              <c:strCache>
                <c:ptCount val="1"/>
                <c:pt idx="0">
                  <c:v>ZCU104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'Processor Benchmarks'!$M$60:$N$60</c:f>
              <c:numCache>
                <c:formatCode>General</c:formatCode>
                <c:ptCount val="2"/>
                <c:pt idx="0">
                  <c:v>7.3216299089436054</c:v>
                </c:pt>
                <c:pt idx="1">
                  <c:v>7.9650825854297924</c:v>
                </c:pt>
              </c:numCache>
            </c:numRef>
          </c:xVal>
          <c:yVal>
            <c:numRef>
              <c:f>'Processor Benchmarks'!$M$70:$N$70</c:f>
              <c:numCache>
                <c:formatCode>General</c:formatCode>
                <c:ptCount val="2"/>
                <c:pt idx="0">
                  <c:v>-1.821339541461831</c:v>
                </c:pt>
                <c:pt idx="1">
                  <c:v>-1.1841898932513173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533-4975-8D65-2698C15AD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14511"/>
        <c:axId val="178616911"/>
      </c:scatterChart>
      <c:valAx>
        <c:axId val="17861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log10(ops)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16911"/>
        <c:crosses val="autoZero"/>
        <c:crossBetween val="midCat"/>
      </c:valAx>
      <c:valAx>
        <c:axId val="17861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14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chart" Target="../charts/chart3.xml"/><Relationship Id="rId7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472358</xdr:colOff>
      <xdr:row>2</xdr:row>
      <xdr:rowOff>52971</xdr:rowOff>
    </xdr:from>
    <xdr:to>
      <xdr:col>24</xdr:col>
      <xdr:colOff>547287</xdr:colOff>
      <xdr:row>12</xdr:row>
      <xdr:rowOff>148321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7058F1-0A79-932D-FF40-6DDAA85B6E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534962</xdr:colOff>
      <xdr:row>17</xdr:row>
      <xdr:rowOff>66676</xdr:rowOff>
    </xdr:from>
    <xdr:to>
      <xdr:col>24</xdr:col>
      <xdr:colOff>620686</xdr:colOff>
      <xdr:row>29</xdr:row>
      <xdr:rowOff>393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FA4F3F-A12F-4030-B062-09FFB38D57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379925</xdr:colOff>
      <xdr:row>31</xdr:row>
      <xdr:rowOff>123826</xdr:rowOff>
    </xdr:from>
    <xdr:to>
      <xdr:col>24</xdr:col>
      <xdr:colOff>458664</xdr:colOff>
      <xdr:row>43</xdr:row>
      <xdr:rowOff>112543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551EDD0-9974-4F56-A420-5D1F92988C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370791</xdr:colOff>
      <xdr:row>45</xdr:row>
      <xdr:rowOff>190500</xdr:rowOff>
    </xdr:from>
    <xdr:to>
      <xdr:col>24</xdr:col>
      <xdr:colOff>456515</xdr:colOff>
      <xdr:row>57</xdr:row>
      <xdr:rowOff>131885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8F88A3-ED0C-401C-8A93-02F72EF7BE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361462</xdr:colOff>
      <xdr:row>59</xdr:row>
      <xdr:rowOff>57151</xdr:rowOff>
    </xdr:from>
    <xdr:to>
      <xdr:col>24</xdr:col>
      <xdr:colOff>445916</xdr:colOff>
      <xdr:row>69</xdr:row>
      <xdr:rowOff>161632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64BD1B0-A8E2-4E76-9E92-B7FC46E92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27</xdr:col>
      <xdr:colOff>495690</xdr:colOff>
      <xdr:row>0</xdr:row>
      <xdr:rowOff>30579</xdr:rowOff>
    </xdr:from>
    <xdr:to>
      <xdr:col>28</xdr:col>
      <xdr:colOff>247307</xdr:colOff>
      <xdr:row>1</xdr:row>
      <xdr:rowOff>150546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800AA13-31B9-0191-682C-18BBEA38795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b="17076"/>
        <a:stretch/>
      </xdr:blipFill>
      <xdr:spPr>
        <a:xfrm>
          <a:off x="17772575" y="30579"/>
          <a:ext cx="641154" cy="299232"/>
        </a:xfrm>
        <a:prstGeom prst="rect">
          <a:avLst/>
        </a:prstGeom>
      </xdr:spPr>
    </xdr:pic>
    <xdr:clientData/>
  </xdr:twoCellAnchor>
  <xdr:twoCellAnchor editAs="oneCell">
    <xdr:from>
      <xdr:col>29</xdr:col>
      <xdr:colOff>134035</xdr:colOff>
      <xdr:row>0</xdr:row>
      <xdr:rowOff>84116</xdr:rowOff>
    </xdr:from>
    <xdr:to>
      <xdr:col>30</xdr:col>
      <xdr:colOff>153768</xdr:colOff>
      <xdr:row>1</xdr:row>
      <xdr:rowOff>74540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D6139FC-87CC-D076-62D4-021BB732AC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t="1" b="30958"/>
        <a:stretch/>
      </xdr:blipFill>
      <xdr:spPr>
        <a:xfrm>
          <a:off x="18690689" y="84116"/>
          <a:ext cx="664697" cy="174769"/>
        </a:xfrm>
        <a:prstGeom prst="rect">
          <a:avLst/>
        </a:prstGeom>
      </xdr:spPr>
    </xdr:pic>
    <xdr:clientData/>
  </xdr:twoCellAnchor>
  <xdr:twoCellAnchor editAs="oneCell">
    <xdr:from>
      <xdr:col>24</xdr:col>
      <xdr:colOff>549616</xdr:colOff>
      <xdr:row>0</xdr:row>
      <xdr:rowOff>31848</xdr:rowOff>
    </xdr:from>
    <xdr:to>
      <xdr:col>26</xdr:col>
      <xdr:colOff>526270</xdr:colOff>
      <xdr:row>1</xdr:row>
      <xdr:rowOff>36888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C60B299-F620-DCF9-DE3F-CA453A481F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906847" y="31848"/>
          <a:ext cx="1258962" cy="1843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google.com/document/d/1Hv85PrHAEbg3SU8cE0pWDm6h-39xJLpnDe5u2JhcZ98/edit?usp=sharing" TargetMode="External"/><Relationship Id="rId13" Type="http://schemas.openxmlformats.org/officeDocument/2006/relationships/hyperlink" Target="https://docs.google.com/document/d/1TOXknXi7KqF5wbKFvTCpz1oaBOyy9-SaX85EUf5KdQc/edit?usp=sharing" TargetMode="External"/><Relationship Id="rId18" Type="http://schemas.openxmlformats.org/officeDocument/2006/relationships/hyperlink" Target="https://docs.google.com/document/d/1ULlEtMH2g_o3138RdIA1yedcgZAJATrkWqCrcEsB0RY/edit?usp=sharing" TargetMode="External"/><Relationship Id="rId3" Type="http://schemas.openxmlformats.org/officeDocument/2006/relationships/hyperlink" Target="https://docs.google.com/document/d/1i5RU8aghy_4Tg3JY8__LwrMYSPPrjihH1BCHbgtmbec/edit?usp=sharing" TargetMode="External"/><Relationship Id="rId21" Type="http://schemas.openxmlformats.org/officeDocument/2006/relationships/hyperlink" Target="https://docs.google.com/document/d/1-9QxnN96puaW_eHLDUy4gAYTHaHYF7WGdExffJUJ9Nk/edit?usp=sharing" TargetMode="External"/><Relationship Id="rId7" Type="http://schemas.openxmlformats.org/officeDocument/2006/relationships/hyperlink" Target="https://docs.google.com/document/d/1czasiPy1pT-qoX-Z4f4qQC9vlFVugHUDuooy_ulQP1k/edit?usp=sharing" TargetMode="External"/><Relationship Id="rId12" Type="http://schemas.openxmlformats.org/officeDocument/2006/relationships/hyperlink" Target="https://docs.google.com/document/d/1hF5JZrJlK2Le2Ny27UjciHKk4QeHXEAD32IOHzlXtz8/edit?usp=sharing" TargetMode="External"/><Relationship Id="rId17" Type="http://schemas.openxmlformats.org/officeDocument/2006/relationships/hyperlink" Target="https://docs.google.com/document/d/1Xf264nJV2Ew8VsmahQL-wIQKGzCN2s1f7vVbbSsUcRs/edit?usp=sharing" TargetMode="External"/><Relationship Id="rId2" Type="http://schemas.openxmlformats.org/officeDocument/2006/relationships/hyperlink" Target="https://docs.google.com/document/d/1dOG2HmSJISjUS_645nizGcMzMpjMiXcRheR-tLcuQ80/edit?usp=sharing" TargetMode="External"/><Relationship Id="rId16" Type="http://schemas.openxmlformats.org/officeDocument/2006/relationships/hyperlink" Target="https://docs.google.com/document/d/1tsCZ_i-S3ZCEZOWZ3n_ElroJO0uvSYrdjB3znM5LbMc/edit?usp=sharing" TargetMode="External"/><Relationship Id="rId20" Type="http://schemas.openxmlformats.org/officeDocument/2006/relationships/hyperlink" Target="https://docs.google.com/document/d/1OihczCcLnHJ7hkxBuXHN70oahKOtW3HqaomB9HEODKg/edit?usp=sharing" TargetMode="External"/><Relationship Id="rId1" Type="http://schemas.openxmlformats.org/officeDocument/2006/relationships/hyperlink" Target="https://docs.google.com/document/d/1f6z8KG3Vn0QY4xmqYPbojgxF7qDYCO_vvfgC00R-ulI/edit?usp=drive_link" TargetMode="External"/><Relationship Id="rId6" Type="http://schemas.openxmlformats.org/officeDocument/2006/relationships/hyperlink" Target="https://docs.google.com/document/d/17XxTX2c2z6MF2KJEZfYd7TtInKZg__TJAor2J83SCEk/edit?usp=sharing" TargetMode="External"/><Relationship Id="rId11" Type="http://schemas.openxmlformats.org/officeDocument/2006/relationships/hyperlink" Target="https://docs.google.com/document/d/14vRvv1qRwbLQ8MOtktNHzaf4vE1iNrwMvN-4lLBEVgI/edit?usp=sharing" TargetMode="External"/><Relationship Id="rId5" Type="http://schemas.openxmlformats.org/officeDocument/2006/relationships/hyperlink" Target="https://docs.google.com/document/d/1Rs6MMj-aD6flWyt-gE9qVC-5j8GZixIgjk_kkajBszg/edit?usp=sharing" TargetMode="External"/><Relationship Id="rId15" Type="http://schemas.openxmlformats.org/officeDocument/2006/relationships/hyperlink" Target="https://docs.google.com/document/d/1gHrscOePA5DxOtLMyD-8pvOgeiXBSTfsMQ_19yPS0yU/edit?usp=sharing" TargetMode="External"/><Relationship Id="rId10" Type="http://schemas.openxmlformats.org/officeDocument/2006/relationships/hyperlink" Target="https://docs.google.com/document/d/1PISPzmEbS-p3qw4CZohxzjCg7XlYLQCEpMyt0SREpJY/edit?usp=sharing" TargetMode="External"/><Relationship Id="rId19" Type="http://schemas.openxmlformats.org/officeDocument/2006/relationships/hyperlink" Target="https://docs.google.com/document/d/1sE8ambbOSKiQf4LjAzsBf-yyNo9LY5E0RGWrfScaNps/edit?usp=sharing" TargetMode="External"/><Relationship Id="rId4" Type="http://schemas.openxmlformats.org/officeDocument/2006/relationships/hyperlink" Target="https://docs.google.com/document/d/1IV_TG5qxgfYtMxqbr0EXrDpmikpdag_ACl1WHXIfQIs/edit?usp=sharing" TargetMode="External"/><Relationship Id="rId9" Type="http://schemas.openxmlformats.org/officeDocument/2006/relationships/hyperlink" Target="https://docs.google.com/document/d/1J05sVgsrQUfi9-pBKSHZ9_d9lze9NaSj8PzzPqumGJk/edit?usp=sharing" TargetMode="External"/><Relationship Id="rId14" Type="http://schemas.openxmlformats.org/officeDocument/2006/relationships/hyperlink" Target="https://docs.google.com/document/d/1rYClbQlZS8Dpw8qK6r1CSacQfGXnnY2AD1VwBJbv2sI/edit?usp=shari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google.com/document/d/1czasiPy1pT-qoX-Z4f4qQC9vlFVugHUDuooy_ulQP1k/edit?usp=sharing" TargetMode="External"/><Relationship Id="rId13" Type="http://schemas.openxmlformats.org/officeDocument/2006/relationships/hyperlink" Target="https://docs.google.com/document/d/1hF5JZrJlK2Le2Ny27UjciHKk4QeHXEAD32IOHzlXtz8/edit?usp=sharing" TargetMode="External"/><Relationship Id="rId18" Type="http://schemas.openxmlformats.org/officeDocument/2006/relationships/hyperlink" Target="https://docs.google.com/document/d/1Xf264nJV2Ew8VsmahQL-wIQKGzCN2s1f7vVbbSsUcRs/edit?usp=sharing" TargetMode="External"/><Relationship Id="rId3" Type="http://schemas.openxmlformats.org/officeDocument/2006/relationships/hyperlink" Target="https://docs.google.com/document/d/1dOG2HmSJISjUS_645nizGcMzMpjMiXcRheR-tLcuQ80/edit?usp=sharing" TargetMode="External"/><Relationship Id="rId21" Type="http://schemas.openxmlformats.org/officeDocument/2006/relationships/hyperlink" Target="https://docs.google.com/document/d/1OihczCcLnHJ7hkxBuXHN70oahKOtW3HqaomB9HEODKg/edit?usp=sharing" TargetMode="External"/><Relationship Id="rId7" Type="http://schemas.openxmlformats.org/officeDocument/2006/relationships/hyperlink" Target="https://docs.google.com/document/d/17XxTX2c2z6MF2KJEZfYd7TtInKZg__TJAor2J83SCEk/edit?usp=sharing" TargetMode="External"/><Relationship Id="rId12" Type="http://schemas.openxmlformats.org/officeDocument/2006/relationships/hyperlink" Target="https://docs.google.com/document/d/14vRvv1qRwbLQ8MOtktNHzaf4vE1iNrwMvN-4lLBEVgI/edit?usp=sharing" TargetMode="External"/><Relationship Id="rId17" Type="http://schemas.openxmlformats.org/officeDocument/2006/relationships/hyperlink" Target="https://docs.google.com/document/d/1tsCZ_i-S3ZCEZOWZ3n_ElroJO0uvSYrdjB3znM5LbMc/edit?usp=sharing" TargetMode="External"/><Relationship Id="rId2" Type="http://schemas.openxmlformats.org/officeDocument/2006/relationships/hyperlink" Target="https://docs.google.com/document/d/1f6z8KG3Vn0QY4xmqYPbojgxF7qDYCO_vvfgC00R-ulI/edit?usp=drive_link" TargetMode="External"/><Relationship Id="rId16" Type="http://schemas.openxmlformats.org/officeDocument/2006/relationships/hyperlink" Target="https://docs.google.com/document/d/1gHrscOePA5DxOtLMyD-8pvOgeiXBSTfsMQ_19yPS0yU/edit?usp=sharing" TargetMode="External"/><Relationship Id="rId20" Type="http://schemas.openxmlformats.org/officeDocument/2006/relationships/hyperlink" Target="https://docs.google.com/document/d/1sE8ambbOSKiQf4LjAzsBf-yyNo9LY5E0RGWrfScaNps/edit?usp=sharing" TargetMode="External"/><Relationship Id="rId1" Type="http://schemas.openxmlformats.org/officeDocument/2006/relationships/hyperlink" Target="https://drive.google.com/drive/folders/1k9s2NTgh0iZ5Zcuu2C4tmSuJN2Jq7Ct_?usp=sharing" TargetMode="External"/><Relationship Id="rId6" Type="http://schemas.openxmlformats.org/officeDocument/2006/relationships/hyperlink" Target="https://docs.google.com/document/d/1Rs6MMj-aD6flWyt-gE9qVC-5j8GZixIgjk_kkajBszg/edit?usp=sharing" TargetMode="External"/><Relationship Id="rId11" Type="http://schemas.openxmlformats.org/officeDocument/2006/relationships/hyperlink" Target="https://docs.google.com/document/d/1PISPzmEbS-p3qw4CZohxzjCg7XlYLQCEpMyt0SREpJY/edit?usp=sharing" TargetMode="External"/><Relationship Id="rId5" Type="http://schemas.openxmlformats.org/officeDocument/2006/relationships/hyperlink" Target="https://docs.google.com/document/d/1IV_TG5qxgfYtMxqbr0EXrDpmikpdag_ACl1WHXIfQIs/edit?usp=sharing" TargetMode="External"/><Relationship Id="rId15" Type="http://schemas.openxmlformats.org/officeDocument/2006/relationships/hyperlink" Target="https://docs.google.com/document/d/1rYClbQlZS8Dpw8qK6r1CSacQfGXnnY2AD1VwBJbv2sI/edit?usp=sharing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s://docs.google.com/document/d/1J05sVgsrQUfi9-pBKSHZ9_d9lze9NaSj8PzzPqumGJk/edit?usp=sharing" TargetMode="External"/><Relationship Id="rId19" Type="http://schemas.openxmlformats.org/officeDocument/2006/relationships/hyperlink" Target="https://docs.google.com/document/d/1ULlEtMH2g_o3138RdIA1yedcgZAJATrkWqCrcEsB0RY/edit?usp=sharing" TargetMode="External"/><Relationship Id="rId4" Type="http://schemas.openxmlformats.org/officeDocument/2006/relationships/hyperlink" Target="https://docs.google.com/document/d/1i5RU8aghy_4Tg3JY8__LwrMYSPPrjihH1BCHbgtmbec/edit?usp=sharing" TargetMode="External"/><Relationship Id="rId9" Type="http://schemas.openxmlformats.org/officeDocument/2006/relationships/hyperlink" Target="https://docs.google.com/document/d/1Hv85PrHAEbg3SU8cE0pWDm6h-39xJLpnDe5u2JhcZ98/edit?usp=sharing" TargetMode="External"/><Relationship Id="rId14" Type="http://schemas.openxmlformats.org/officeDocument/2006/relationships/hyperlink" Target="https://docs.google.com/document/d/1TOXknXi7KqF5wbKFvTCpz1oaBOyy9-SaX85EUf5KdQc/edit?usp=sharing" TargetMode="External"/><Relationship Id="rId22" Type="http://schemas.openxmlformats.org/officeDocument/2006/relationships/hyperlink" Target="https://docs.google.com/document/d/1-9QxnN96puaW_eHLDUy4gAYTHaHYF7WGdExffJUJ9Nk/edit?usp=sharing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2379F-9E30-48B6-87B4-C4930F1C668C}">
  <dimension ref="A1:W71"/>
  <sheetViews>
    <sheetView tabSelected="1" topLeftCell="A31" zoomScaleNormal="100" workbookViewId="0">
      <selection activeCell="D43" sqref="D43"/>
    </sheetView>
  </sheetViews>
  <sheetFormatPr defaultRowHeight="14.4" x14ac:dyDescent="0.55000000000000004"/>
  <cols>
    <col min="1" max="1" width="26.62890625" customWidth="1"/>
    <col min="2" max="2" width="14.7890625" customWidth="1"/>
    <col min="9" max="9" width="19.9453125" customWidth="1"/>
    <col min="23" max="23" width="13.3125" customWidth="1"/>
  </cols>
  <sheetData>
    <row r="1" spans="1:10" x14ac:dyDescent="0.55000000000000004">
      <c r="A1" s="130" t="s">
        <v>28</v>
      </c>
      <c r="B1" s="130"/>
      <c r="C1" s="130"/>
      <c r="D1" s="130"/>
      <c r="E1" s="130"/>
      <c r="F1" s="130"/>
      <c r="G1" s="130"/>
      <c r="H1" s="130"/>
      <c r="I1" s="130"/>
    </row>
    <row r="2" spans="1:10" x14ac:dyDescent="0.55000000000000004">
      <c r="A2" s="1"/>
      <c r="B2" s="1"/>
      <c r="C2" s="131" t="s">
        <v>23</v>
      </c>
      <c r="D2" s="131"/>
      <c r="E2" s="131"/>
      <c r="F2" s="132" t="s">
        <v>24</v>
      </c>
      <c r="G2" s="132"/>
      <c r="H2" s="132"/>
      <c r="I2" s="17" t="s">
        <v>44</v>
      </c>
    </row>
    <row r="3" spans="1:10" x14ac:dyDescent="0.55000000000000004">
      <c r="A3" t="s">
        <v>0</v>
      </c>
      <c r="B3" t="s">
        <v>1</v>
      </c>
      <c r="C3" s="2" t="s">
        <v>2</v>
      </c>
      <c r="D3" s="3" t="s">
        <v>3</v>
      </c>
      <c r="E3" s="4" t="s">
        <v>4</v>
      </c>
      <c r="F3" s="2" t="s">
        <v>25</v>
      </c>
      <c r="G3" s="3" t="s">
        <v>26</v>
      </c>
      <c r="H3" s="4" t="s">
        <v>27</v>
      </c>
      <c r="I3" s="12" t="s">
        <v>43</v>
      </c>
      <c r="J3" s="14"/>
    </row>
    <row r="4" spans="1:10" x14ac:dyDescent="0.55000000000000004">
      <c r="A4" s="5" t="s">
        <v>5</v>
      </c>
      <c r="B4" s="5" t="s">
        <v>6</v>
      </c>
      <c r="C4" s="6">
        <v>13000</v>
      </c>
      <c r="D4" s="5">
        <v>26000</v>
      </c>
      <c r="E4" s="7">
        <v>51000</v>
      </c>
      <c r="F4" s="6">
        <v>3444</v>
      </c>
      <c r="G4" s="5">
        <v>13000</v>
      </c>
      <c r="H4" s="7">
        <v>51000</v>
      </c>
      <c r="I4" s="5">
        <v>26000</v>
      </c>
    </row>
    <row r="5" spans="1:10" x14ac:dyDescent="0.55000000000000004">
      <c r="A5" s="3" t="s">
        <v>7</v>
      </c>
      <c r="B5" s="3" t="s">
        <v>8</v>
      </c>
      <c r="C5" s="2">
        <v>6400</v>
      </c>
      <c r="D5" s="3">
        <v>14000</v>
      </c>
      <c r="E5" s="4">
        <v>26000</v>
      </c>
      <c r="F5" s="2">
        <v>2312</v>
      </c>
      <c r="G5" s="3">
        <v>6400</v>
      </c>
      <c r="H5" s="4">
        <v>26000</v>
      </c>
      <c r="I5" s="3">
        <v>14000</v>
      </c>
    </row>
    <row r="6" spans="1:10" x14ac:dyDescent="0.55000000000000004">
      <c r="A6" s="3" t="s">
        <v>9</v>
      </c>
      <c r="B6" s="3" t="s">
        <v>10</v>
      </c>
      <c r="C6" s="2">
        <v>5</v>
      </c>
      <c r="D6" s="3">
        <v>10</v>
      </c>
      <c r="E6" s="4">
        <v>20</v>
      </c>
      <c r="F6" s="2">
        <v>1</v>
      </c>
      <c r="G6" s="3">
        <v>5</v>
      </c>
      <c r="H6" s="4">
        <v>20</v>
      </c>
      <c r="I6" s="3">
        <v>10</v>
      </c>
    </row>
    <row r="7" spans="1:10" x14ac:dyDescent="0.55000000000000004">
      <c r="A7" s="3" t="s">
        <v>11</v>
      </c>
      <c r="B7" s="3" t="s">
        <v>12</v>
      </c>
      <c r="C7" s="2">
        <v>2</v>
      </c>
      <c r="D7" s="3">
        <v>3</v>
      </c>
      <c r="E7" s="4">
        <v>4</v>
      </c>
      <c r="F7" s="2">
        <v>2</v>
      </c>
      <c r="G7" s="3">
        <v>3</v>
      </c>
      <c r="H7" s="4">
        <v>3</v>
      </c>
      <c r="I7" s="3">
        <v>3</v>
      </c>
    </row>
    <row r="8" spans="1:10" x14ac:dyDescent="0.55000000000000004">
      <c r="A8" s="3" t="s">
        <v>13</v>
      </c>
      <c r="B8" s="3" t="s">
        <v>14</v>
      </c>
      <c r="C8" s="2">
        <v>1024</v>
      </c>
      <c r="D8" s="3">
        <v>2048</v>
      </c>
      <c r="E8" s="4">
        <v>4096</v>
      </c>
      <c r="F8" s="2">
        <v>2048</v>
      </c>
      <c r="G8" s="3">
        <v>1024</v>
      </c>
      <c r="H8" s="4">
        <v>4096</v>
      </c>
      <c r="I8" s="3">
        <v>2048</v>
      </c>
    </row>
    <row r="9" spans="1:10" x14ac:dyDescent="0.55000000000000004">
      <c r="A9" s="3" t="s">
        <v>15</v>
      </c>
      <c r="B9" s="3" t="s">
        <v>16</v>
      </c>
      <c r="C9" s="2">
        <v>3</v>
      </c>
      <c r="D9" s="3">
        <v>10</v>
      </c>
      <c r="E9" s="4">
        <v>20</v>
      </c>
      <c r="F9" s="2"/>
      <c r="G9" s="3">
        <v>10</v>
      </c>
      <c r="H9" s="4">
        <v>10</v>
      </c>
      <c r="I9" s="3">
        <v>10</v>
      </c>
    </row>
    <row r="10" spans="1:10" x14ac:dyDescent="0.55000000000000004">
      <c r="A10" s="3" t="s">
        <v>17</v>
      </c>
      <c r="B10" s="3" t="s">
        <v>18</v>
      </c>
      <c r="C10" s="2">
        <v>3</v>
      </c>
      <c r="D10" s="3">
        <v>10</v>
      </c>
      <c r="E10" s="4">
        <v>20</v>
      </c>
      <c r="F10" s="2"/>
      <c r="G10" s="3">
        <v>10</v>
      </c>
      <c r="H10" s="4">
        <v>10</v>
      </c>
      <c r="I10" s="3">
        <v>10</v>
      </c>
    </row>
    <row r="11" spans="1:10" x14ac:dyDescent="0.55000000000000004">
      <c r="A11" s="3" t="s">
        <v>19</v>
      </c>
      <c r="B11" s="3" t="s">
        <v>20</v>
      </c>
      <c r="C11" s="2">
        <v>2600</v>
      </c>
      <c r="D11" s="3">
        <v>5100</v>
      </c>
      <c r="E11" s="4">
        <v>10000</v>
      </c>
      <c r="F11" s="2"/>
      <c r="G11" s="3">
        <v>2600</v>
      </c>
      <c r="H11" s="4">
        <v>10000</v>
      </c>
      <c r="I11" s="3">
        <v>5100</v>
      </c>
    </row>
    <row r="12" spans="1:10" x14ac:dyDescent="0.55000000000000004">
      <c r="A12" s="8" t="s">
        <v>21</v>
      </c>
      <c r="B12" s="8" t="s">
        <v>22</v>
      </c>
      <c r="C12" s="9">
        <v>13000</v>
      </c>
      <c r="D12" s="8">
        <v>26000</v>
      </c>
      <c r="E12" s="10">
        <v>51000</v>
      </c>
      <c r="F12" s="9"/>
      <c r="G12" s="8">
        <v>13000</v>
      </c>
      <c r="H12" s="10">
        <v>51000</v>
      </c>
      <c r="I12" s="8">
        <v>26000</v>
      </c>
    </row>
    <row r="15" spans="1:10" x14ac:dyDescent="0.55000000000000004">
      <c r="A15" s="130" t="s">
        <v>29</v>
      </c>
      <c r="B15" s="130"/>
      <c r="C15" s="130"/>
      <c r="D15" s="130"/>
      <c r="E15" s="130"/>
      <c r="F15" s="130"/>
      <c r="G15" s="130"/>
      <c r="H15" s="130"/>
      <c r="I15" s="130"/>
    </row>
    <row r="16" spans="1:10" x14ac:dyDescent="0.55000000000000004">
      <c r="A16" s="1"/>
      <c r="B16" s="1"/>
      <c r="C16" s="131" t="s">
        <v>23</v>
      </c>
      <c r="D16" s="131"/>
      <c r="E16" s="131"/>
      <c r="F16" s="132" t="s">
        <v>24</v>
      </c>
      <c r="G16" s="132"/>
      <c r="H16" s="132"/>
      <c r="I16" s="17" t="s">
        <v>44</v>
      </c>
    </row>
    <row r="17" spans="1:9" x14ac:dyDescent="0.55000000000000004">
      <c r="A17" s="133" t="s">
        <v>30</v>
      </c>
      <c r="B17" s="134"/>
      <c r="C17" s="2" t="s">
        <v>2</v>
      </c>
      <c r="D17" s="3" t="s">
        <v>3</v>
      </c>
      <c r="E17" s="4" t="s">
        <v>4</v>
      </c>
      <c r="F17" s="2" t="s">
        <v>25</v>
      </c>
      <c r="G17" s="3" t="s">
        <v>26</v>
      </c>
      <c r="H17" s="4" t="s">
        <v>27</v>
      </c>
      <c r="I17" s="12" t="s">
        <v>43</v>
      </c>
    </row>
    <row r="18" spans="1:9" x14ac:dyDescent="0.55000000000000004">
      <c r="A18" s="5" t="s">
        <v>31</v>
      </c>
      <c r="B18" s="5"/>
      <c r="C18" s="6">
        <v>120</v>
      </c>
      <c r="D18" s="5">
        <v>1200</v>
      </c>
      <c r="E18" s="7">
        <v>12000</v>
      </c>
      <c r="F18" s="6"/>
      <c r="G18" s="5">
        <v>1200</v>
      </c>
      <c r="H18" s="5">
        <v>1200</v>
      </c>
      <c r="I18" s="6">
        <v>1200</v>
      </c>
    </row>
    <row r="19" spans="1:9" x14ac:dyDescent="0.55000000000000004">
      <c r="A19" s="3" t="s">
        <v>32</v>
      </c>
      <c r="C19" s="2">
        <v>120</v>
      </c>
      <c r="D19" s="3">
        <v>1200</v>
      </c>
      <c r="E19" s="4">
        <v>12000</v>
      </c>
      <c r="F19" s="2"/>
      <c r="G19" s="3">
        <v>1200</v>
      </c>
      <c r="H19" s="3">
        <v>1200</v>
      </c>
      <c r="I19" s="2">
        <v>1200</v>
      </c>
    </row>
    <row r="20" spans="1:9" x14ac:dyDescent="0.55000000000000004">
      <c r="A20" s="3" t="s">
        <v>33</v>
      </c>
      <c r="C20" s="2">
        <v>60</v>
      </c>
      <c r="D20" s="3">
        <v>600</v>
      </c>
      <c r="E20" s="4">
        <v>6000</v>
      </c>
      <c r="F20" s="2"/>
      <c r="G20" s="3">
        <v>600</v>
      </c>
      <c r="H20" s="3">
        <v>600</v>
      </c>
      <c r="I20" s="2">
        <v>600</v>
      </c>
    </row>
    <row r="21" spans="1:9" x14ac:dyDescent="0.55000000000000004">
      <c r="A21" s="3" t="s">
        <v>34</v>
      </c>
      <c r="C21" s="2">
        <v>1</v>
      </c>
      <c r="D21" s="3">
        <v>10</v>
      </c>
      <c r="E21" s="4">
        <v>100</v>
      </c>
      <c r="F21" s="2"/>
      <c r="G21" s="3">
        <v>100</v>
      </c>
      <c r="H21" s="3">
        <v>1</v>
      </c>
      <c r="I21" s="2">
        <v>10</v>
      </c>
    </row>
    <row r="22" spans="1:9" x14ac:dyDescent="0.55000000000000004">
      <c r="A22" s="3" t="s">
        <v>35</v>
      </c>
      <c r="C22" s="2">
        <v>1</v>
      </c>
      <c r="D22" s="3">
        <v>10</v>
      </c>
      <c r="E22" s="4">
        <v>100</v>
      </c>
      <c r="F22" s="2"/>
      <c r="G22" s="3">
        <v>100</v>
      </c>
      <c r="H22" s="3">
        <v>1</v>
      </c>
      <c r="I22" s="2">
        <v>10</v>
      </c>
    </row>
    <row r="23" spans="1:9" x14ac:dyDescent="0.55000000000000004">
      <c r="A23" s="3" t="s">
        <v>36</v>
      </c>
      <c r="C23" s="2">
        <v>1</v>
      </c>
      <c r="D23" s="3">
        <v>10</v>
      </c>
      <c r="E23" s="4">
        <v>100</v>
      </c>
      <c r="F23" s="2"/>
      <c r="G23" s="3">
        <v>100</v>
      </c>
      <c r="H23" s="3">
        <v>1</v>
      </c>
      <c r="I23" s="2">
        <v>10</v>
      </c>
    </row>
    <row r="24" spans="1:9" x14ac:dyDescent="0.55000000000000004">
      <c r="A24" s="3" t="s">
        <v>37</v>
      </c>
      <c r="C24" s="2">
        <v>1</v>
      </c>
      <c r="D24" s="3">
        <v>10</v>
      </c>
      <c r="E24" s="4">
        <v>100</v>
      </c>
      <c r="F24" s="2"/>
      <c r="G24" s="3">
        <v>100</v>
      </c>
      <c r="H24" s="3">
        <v>1</v>
      </c>
      <c r="I24" s="2">
        <v>10</v>
      </c>
    </row>
    <row r="25" spans="1:9" x14ac:dyDescent="0.55000000000000004">
      <c r="A25" s="3" t="s">
        <v>38</v>
      </c>
      <c r="C25" s="2">
        <v>1</v>
      </c>
      <c r="D25" s="3">
        <v>10</v>
      </c>
      <c r="E25" s="4">
        <v>100</v>
      </c>
      <c r="F25" s="2"/>
      <c r="G25" s="3">
        <v>100</v>
      </c>
      <c r="H25" s="3">
        <v>1</v>
      </c>
      <c r="I25" s="2">
        <v>10</v>
      </c>
    </row>
    <row r="26" spans="1:9" x14ac:dyDescent="0.55000000000000004">
      <c r="A26" s="3" t="s">
        <v>39</v>
      </c>
      <c r="C26" s="2">
        <v>1</v>
      </c>
      <c r="D26" s="3">
        <v>10</v>
      </c>
      <c r="E26" s="4">
        <v>100</v>
      </c>
      <c r="F26" s="2"/>
      <c r="G26" s="3">
        <v>100</v>
      </c>
      <c r="H26" s="3">
        <v>1</v>
      </c>
      <c r="I26" s="2">
        <v>10</v>
      </c>
    </row>
    <row r="27" spans="1:9" x14ac:dyDescent="0.55000000000000004">
      <c r="A27" s="3" t="s">
        <v>40</v>
      </c>
      <c r="C27" s="2">
        <v>1</v>
      </c>
      <c r="D27" s="3">
        <v>10</v>
      </c>
      <c r="E27" s="3">
        <v>100</v>
      </c>
      <c r="F27" s="2"/>
      <c r="G27" s="3">
        <v>100</v>
      </c>
      <c r="H27" s="3">
        <v>1</v>
      </c>
      <c r="I27" s="2">
        <v>10</v>
      </c>
    </row>
    <row r="28" spans="1:9" x14ac:dyDescent="0.55000000000000004">
      <c r="A28" t="s">
        <v>41</v>
      </c>
      <c r="C28" s="2">
        <v>120</v>
      </c>
      <c r="D28" s="3">
        <v>1200</v>
      </c>
      <c r="E28" s="3">
        <v>12000</v>
      </c>
      <c r="F28" s="2"/>
      <c r="G28" s="3">
        <v>1200</v>
      </c>
      <c r="H28" s="3">
        <v>1200</v>
      </c>
      <c r="I28" s="2">
        <v>1200</v>
      </c>
    </row>
    <row r="29" spans="1:9" x14ac:dyDescent="0.55000000000000004">
      <c r="A29" s="8" t="s">
        <v>42</v>
      </c>
      <c r="B29" s="10"/>
      <c r="C29" s="9">
        <v>1</v>
      </c>
      <c r="D29" s="8">
        <v>10</v>
      </c>
      <c r="E29" s="8">
        <v>100</v>
      </c>
      <c r="F29" s="9"/>
      <c r="G29" s="9">
        <v>100</v>
      </c>
      <c r="H29" s="9">
        <v>1</v>
      </c>
      <c r="I29" s="9">
        <v>10</v>
      </c>
    </row>
    <row r="32" spans="1:9" x14ac:dyDescent="0.55000000000000004">
      <c r="A32" s="130" t="s">
        <v>122</v>
      </c>
      <c r="B32" s="130"/>
      <c r="C32" s="130"/>
      <c r="D32" s="130"/>
      <c r="E32" s="130"/>
      <c r="F32" s="130"/>
      <c r="G32" s="130"/>
      <c r="H32" s="130"/>
      <c r="I32" s="130"/>
    </row>
    <row r="33" spans="1:23" x14ac:dyDescent="0.55000000000000004">
      <c r="A33" s="53"/>
      <c r="B33" s="132" t="s">
        <v>24</v>
      </c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  <c r="W33" s="17" t="s">
        <v>44</v>
      </c>
    </row>
    <row r="34" spans="1:23" ht="28.8" x14ac:dyDescent="0.55000000000000004">
      <c r="A34" t="s">
        <v>123</v>
      </c>
      <c r="B34" s="35" t="s">
        <v>70</v>
      </c>
      <c r="C34" s="35" t="s">
        <v>73</v>
      </c>
      <c r="D34" s="35" t="s">
        <v>74</v>
      </c>
      <c r="E34" s="35" t="s">
        <v>76</v>
      </c>
      <c r="F34" s="35" t="s">
        <v>78</v>
      </c>
      <c r="G34" s="35" t="s">
        <v>79</v>
      </c>
      <c r="H34" s="35" t="s">
        <v>80</v>
      </c>
      <c r="I34" s="35" t="s">
        <v>81</v>
      </c>
      <c r="J34" s="35" t="s">
        <v>82</v>
      </c>
      <c r="K34" s="35" t="s">
        <v>84</v>
      </c>
      <c r="L34" s="35" t="s">
        <v>86</v>
      </c>
      <c r="M34" s="35" t="s">
        <v>88</v>
      </c>
      <c r="N34" s="35" t="s">
        <v>89</v>
      </c>
      <c r="O34" s="35" t="s">
        <v>90</v>
      </c>
      <c r="P34" s="35" t="s">
        <v>91</v>
      </c>
      <c r="Q34" s="35" t="s">
        <v>92</v>
      </c>
      <c r="R34" s="35" t="s">
        <v>94</v>
      </c>
      <c r="S34" s="35" t="s">
        <v>96</v>
      </c>
      <c r="T34" s="35" t="s">
        <v>98</v>
      </c>
      <c r="U34" s="35" t="s">
        <v>100</v>
      </c>
      <c r="V34" s="37" t="s">
        <v>102</v>
      </c>
      <c r="W34" s="12" t="s">
        <v>43</v>
      </c>
    </row>
    <row r="35" spans="1:23" x14ac:dyDescent="0.55000000000000004">
      <c r="A35" t="s">
        <v>124</v>
      </c>
      <c r="B35" s="36">
        <v>112000000000</v>
      </c>
      <c r="C35" s="36">
        <v>231000000000</v>
      </c>
      <c r="D35" s="36">
        <v>1332000000000</v>
      </c>
      <c r="E35" s="36">
        <v>1000000000000</v>
      </c>
      <c r="F35" s="36">
        <v>2340000000000</v>
      </c>
      <c r="G35" s="36">
        <v>4090000000000</v>
      </c>
      <c r="H35" s="36">
        <v>215000000000</v>
      </c>
      <c r="I35" s="36">
        <v>168000000000</v>
      </c>
      <c r="J35" s="36">
        <v>512000000000</v>
      </c>
      <c r="K35" s="36">
        <v>3700000000</v>
      </c>
      <c r="L35" s="36">
        <v>200000000</v>
      </c>
      <c r="M35" s="36">
        <v>1000000000</v>
      </c>
      <c r="N35" s="36">
        <v>200000000</v>
      </c>
      <c r="O35" s="36">
        <v>57600000000</v>
      </c>
      <c r="P35" s="36">
        <v>128000000000</v>
      </c>
      <c r="Q35" s="36">
        <v>900000000</v>
      </c>
      <c r="R35" s="36">
        <v>25000000000</v>
      </c>
      <c r="S35" s="36">
        <v>614000000000</v>
      </c>
      <c r="T35" s="36">
        <v>950000000000</v>
      </c>
      <c r="U35" s="36">
        <v>3870000000000</v>
      </c>
      <c r="V35" s="36">
        <v>64000000000</v>
      </c>
      <c r="W35" s="36">
        <v>57600000000</v>
      </c>
    </row>
    <row r="36" spans="1:23" x14ac:dyDescent="0.55000000000000004">
      <c r="A36" t="s">
        <v>125</v>
      </c>
      <c r="B36" s="36">
        <v>16000000000</v>
      </c>
      <c r="C36" s="36">
        <v>10600000000</v>
      </c>
      <c r="D36" s="36">
        <v>32000000000</v>
      </c>
      <c r="E36" s="36">
        <v>30000000000</v>
      </c>
      <c r="F36" s="36">
        <v>60000000000</v>
      </c>
      <c r="G36" s="36">
        <v>22400000000</v>
      </c>
      <c r="H36" s="36">
        <v>12500000000</v>
      </c>
      <c r="I36" s="36">
        <v>2670000000</v>
      </c>
      <c r="J36" s="36">
        <v>25600000000</v>
      </c>
      <c r="K36" s="36">
        <v>13000000000</v>
      </c>
      <c r="L36" s="36">
        <v>1600000000</v>
      </c>
      <c r="M36" s="36">
        <v>800000000</v>
      </c>
      <c r="N36" s="36">
        <v>400000000</v>
      </c>
      <c r="O36" s="36">
        <v>33600000000</v>
      </c>
      <c r="P36" s="36">
        <v>51200000000</v>
      </c>
      <c r="Q36" s="36">
        <v>4800000000</v>
      </c>
      <c r="R36" s="36">
        <v>3125000000</v>
      </c>
      <c r="S36" s="36">
        <v>28800000000</v>
      </c>
      <c r="T36" s="36">
        <v>34100000000</v>
      </c>
      <c r="U36" s="36">
        <v>136000000000</v>
      </c>
      <c r="V36" s="36">
        <v>21300000000</v>
      </c>
      <c r="W36" s="36">
        <v>33600000000</v>
      </c>
    </row>
    <row r="37" spans="1:23" x14ac:dyDescent="0.55000000000000004">
      <c r="A37" t="s">
        <v>126</v>
      </c>
      <c r="B37" s="36">
        <v>45000000</v>
      </c>
      <c r="C37" s="36">
        <v>32000000000</v>
      </c>
      <c r="D37" s="36">
        <v>12000000000</v>
      </c>
      <c r="E37" s="36">
        <v>32000000000</v>
      </c>
      <c r="F37" s="36">
        <v>64000000000</v>
      </c>
      <c r="G37" s="36">
        <v>128000000000</v>
      </c>
      <c r="H37" s="36">
        <v>128000000000</v>
      </c>
      <c r="I37" s="36">
        <v>32000000000</v>
      </c>
      <c r="J37" s="36">
        <v>4000000000</v>
      </c>
      <c r="K37" s="36">
        <v>64000000000</v>
      </c>
      <c r="L37" s="36">
        <v>1000000000</v>
      </c>
      <c r="M37" s="36">
        <v>4000000000</v>
      </c>
      <c r="N37" s="36">
        <v>1000000000</v>
      </c>
      <c r="O37" s="36">
        <v>64000000000</v>
      </c>
      <c r="P37" s="36">
        <v>64000000000</v>
      </c>
      <c r="Q37" s="36">
        <v>500000000</v>
      </c>
      <c r="R37" s="36">
        <v>16000000000</v>
      </c>
      <c r="S37" s="36">
        <v>16000000000</v>
      </c>
      <c r="T37" s="36">
        <v>16000000000</v>
      </c>
      <c r="U37" s="36">
        <v>128000000000</v>
      </c>
      <c r="V37" s="36">
        <v>3000000000</v>
      </c>
      <c r="W37" s="36">
        <v>1000000000000</v>
      </c>
    </row>
    <row r="39" spans="1:23" x14ac:dyDescent="0.55000000000000004">
      <c r="A39" s="11"/>
      <c r="B39" s="11"/>
      <c r="C39" s="14"/>
    </row>
    <row r="40" spans="1:23" x14ac:dyDescent="0.55000000000000004">
      <c r="A40" s="130" t="s">
        <v>29</v>
      </c>
      <c r="B40" s="130"/>
      <c r="C40" s="54"/>
      <c r="D40" s="54"/>
      <c r="E40" s="54"/>
      <c r="F40" s="54"/>
      <c r="G40" s="54"/>
      <c r="H40" s="54"/>
      <c r="I40" s="54"/>
    </row>
    <row r="41" spans="1:23" x14ac:dyDescent="0.55000000000000004">
      <c r="A41" s="71" t="s">
        <v>30</v>
      </c>
      <c r="B41" s="150" t="s">
        <v>140</v>
      </c>
      <c r="C41" s="14"/>
    </row>
    <row r="42" spans="1:23" x14ac:dyDescent="0.55000000000000004">
      <c r="A42" s="5" t="s">
        <v>31</v>
      </c>
      <c r="B42" s="6">
        <v>1200</v>
      </c>
      <c r="C42" s="14"/>
    </row>
    <row r="43" spans="1:23" x14ac:dyDescent="0.55000000000000004">
      <c r="A43" s="3" t="s">
        <v>32</v>
      </c>
      <c r="B43" s="2">
        <v>1200</v>
      </c>
      <c r="C43" s="14"/>
    </row>
    <row r="44" spans="1:23" x14ac:dyDescent="0.55000000000000004">
      <c r="A44" s="3" t="s">
        <v>33</v>
      </c>
      <c r="B44" s="2">
        <v>600</v>
      </c>
      <c r="C44" s="14"/>
    </row>
    <row r="45" spans="1:23" x14ac:dyDescent="0.55000000000000004">
      <c r="A45" s="3" t="s">
        <v>34</v>
      </c>
      <c r="B45" s="2">
        <v>10</v>
      </c>
      <c r="C45" s="14"/>
    </row>
    <row r="46" spans="1:23" x14ac:dyDescent="0.55000000000000004">
      <c r="A46" s="3" t="s">
        <v>35</v>
      </c>
      <c r="B46" s="2">
        <v>10</v>
      </c>
      <c r="C46" s="14"/>
    </row>
    <row r="47" spans="1:23" x14ac:dyDescent="0.55000000000000004">
      <c r="A47" s="3" t="s">
        <v>36</v>
      </c>
      <c r="B47" s="2">
        <v>10</v>
      </c>
      <c r="C47" s="14"/>
    </row>
    <row r="48" spans="1:23" x14ac:dyDescent="0.55000000000000004">
      <c r="A48" s="3" t="s">
        <v>37</v>
      </c>
      <c r="B48" s="2">
        <v>10</v>
      </c>
      <c r="C48" s="14"/>
    </row>
    <row r="49" spans="1:5" x14ac:dyDescent="0.55000000000000004">
      <c r="A49" s="3" t="s">
        <v>38</v>
      </c>
      <c r="B49" s="2">
        <v>10</v>
      </c>
    </row>
    <row r="50" spans="1:5" x14ac:dyDescent="0.55000000000000004">
      <c r="A50" s="3" t="s">
        <v>39</v>
      </c>
      <c r="B50" s="2">
        <v>10</v>
      </c>
    </row>
    <row r="51" spans="1:5" x14ac:dyDescent="0.55000000000000004">
      <c r="A51" s="3" t="s">
        <v>40</v>
      </c>
      <c r="B51" s="2">
        <v>10</v>
      </c>
    </row>
    <row r="52" spans="1:5" x14ac:dyDescent="0.55000000000000004">
      <c r="A52" t="s">
        <v>41</v>
      </c>
      <c r="B52" s="2">
        <v>1200</v>
      </c>
    </row>
    <row r="53" spans="1:5" x14ac:dyDescent="0.55000000000000004">
      <c r="A53" s="8" t="s">
        <v>42</v>
      </c>
      <c r="B53" s="9">
        <v>10</v>
      </c>
    </row>
    <row r="56" spans="1:5" x14ac:dyDescent="0.55000000000000004">
      <c r="A56" s="128" t="s">
        <v>154</v>
      </c>
      <c r="B56" s="128"/>
      <c r="C56" s="129"/>
      <c r="D56" s="129"/>
      <c r="E56" s="129"/>
    </row>
    <row r="57" spans="1:5" x14ac:dyDescent="0.55000000000000004">
      <c r="A57" t="s">
        <v>155</v>
      </c>
      <c r="B57" s="77" t="s">
        <v>43</v>
      </c>
      <c r="C57" s="54"/>
      <c r="D57" s="54"/>
      <c r="E57" s="54"/>
    </row>
    <row r="58" spans="1:5" x14ac:dyDescent="0.55000000000000004">
      <c r="A58" t="s">
        <v>45</v>
      </c>
      <c r="B58" s="36">
        <v>302000000</v>
      </c>
    </row>
    <row r="59" spans="1:5" x14ac:dyDescent="0.55000000000000004">
      <c r="A59" t="s">
        <v>52</v>
      </c>
      <c r="B59" s="36">
        <v>568000000</v>
      </c>
    </row>
    <row r="60" spans="1:5" x14ac:dyDescent="0.55000000000000004">
      <c r="A60" t="s">
        <v>53</v>
      </c>
      <c r="B60" s="36">
        <v>622000000</v>
      </c>
    </row>
    <row r="61" spans="1:5" x14ac:dyDescent="0.55000000000000004">
      <c r="A61" t="s">
        <v>54</v>
      </c>
      <c r="B61" s="36">
        <v>12500000</v>
      </c>
    </row>
    <row r="62" spans="1:5" x14ac:dyDescent="0.55000000000000004">
      <c r="A62" t="s">
        <v>55</v>
      </c>
      <c r="B62" s="36">
        <v>19600000</v>
      </c>
    </row>
    <row r="65" spans="1:2" x14ac:dyDescent="0.55000000000000004">
      <c r="A65" s="128" t="s">
        <v>154</v>
      </c>
      <c r="B65" s="128"/>
    </row>
    <row r="66" spans="1:2" x14ac:dyDescent="0.55000000000000004">
      <c r="A66" s="49" t="s">
        <v>163</v>
      </c>
      <c r="B66" s="77" t="s">
        <v>155</v>
      </c>
    </row>
    <row r="67" spans="1:2" x14ac:dyDescent="0.55000000000000004">
      <c r="A67" t="s">
        <v>45</v>
      </c>
      <c r="B67" s="36">
        <v>400000000</v>
      </c>
    </row>
    <row r="68" spans="1:2" x14ac:dyDescent="0.55000000000000004">
      <c r="A68" t="s">
        <v>52</v>
      </c>
      <c r="B68" s="36">
        <v>800000000</v>
      </c>
    </row>
    <row r="69" spans="1:2" x14ac:dyDescent="0.55000000000000004">
      <c r="A69" t="s">
        <v>53</v>
      </c>
      <c r="B69" s="36">
        <v>800000000</v>
      </c>
    </row>
    <row r="70" spans="1:2" x14ac:dyDescent="0.55000000000000004">
      <c r="A70" t="s">
        <v>54</v>
      </c>
      <c r="B70" s="36">
        <v>50000000</v>
      </c>
    </row>
    <row r="71" spans="1:2" x14ac:dyDescent="0.55000000000000004">
      <c r="A71" t="s">
        <v>55</v>
      </c>
      <c r="B71" s="36">
        <v>9000000</v>
      </c>
    </row>
  </sheetData>
  <mergeCells count="13">
    <mergeCell ref="A56:B56"/>
    <mergeCell ref="C56:E56"/>
    <mergeCell ref="A65:B65"/>
    <mergeCell ref="A40:B40"/>
    <mergeCell ref="A1:I1"/>
    <mergeCell ref="A15:I15"/>
    <mergeCell ref="A32:I32"/>
    <mergeCell ref="C2:E2"/>
    <mergeCell ref="F2:H2"/>
    <mergeCell ref="B33:V33"/>
    <mergeCell ref="C16:E16"/>
    <mergeCell ref="F16:H16"/>
    <mergeCell ref="A17:B17"/>
  </mergeCells>
  <hyperlinks>
    <hyperlink ref="B34" r:id="rId1" display="https://docs.google.com/document/d/1f6z8KG3Vn0QY4xmqYPbojgxF7qDYCO_vvfgC00R-ulI/edit?usp=drive_link" xr:uid="{4BAFC57B-12A7-48D4-9C92-EB3C76E79A3B}"/>
    <hyperlink ref="C34" r:id="rId2" display="https://docs.google.com/document/d/1dOG2HmSJISjUS_645nizGcMzMpjMiXcRheR-tLcuQ80/edit?usp=sharing" xr:uid="{5A1AF2C3-EB04-4717-9614-2007F1DB1AD6}"/>
    <hyperlink ref="D34" r:id="rId3" display="https://docs.google.com/document/d/1i5RU8aghy_4Tg3JY8__LwrMYSPPrjihH1BCHbgtmbec/edit?usp=sharing" xr:uid="{F7FD05D3-1289-4C69-A1F9-E0AD8880113A}"/>
    <hyperlink ref="E34" r:id="rId4" display="https://docs.google.com/document/d/1IV_TG5qxgfYtMxqbr0EXrDpmikpdag_ACl1WHXIfQIs/edit?usp=sharing" xr:uid="{EA43CA59-2FF2-4D5C-ACDB-2870118A5424}"/>
    <hyperlink ref="F34" r:id="rId5" display="https://docs.google.com/document/d/1Rs6MMj-aD6flWyt-gE9qVC-5j8GZixIgjk_kkajBszg/edit?usp=sharing" xr:uid="{3AF28881-B1D8-49DF-91BB-075A5BE83C21}"/>
    <hyperlink ref="G34" r:id="rId6" display="https://docs.google.com/document/d/17XxTX2c2z6MF2KJEZfYd7TtInKZg__TJAor2J83SCEk/edit?usp=sharing" xr:uid="{2DF0F0E4-4498-45C1-8F7A-9878D917535B}"/>
    <hyperlink ref="H34" r:id="rId7" display="https://docs.google.com/document/d/1czasiPy1pT-qoX-Z4f4qQC9vlFVugHUDuooy_ulQP1k/edit?usp=sharing" xr:uid="{4E69A080-D394-401A-849C-AC10C0177382}"/>
    <hyperlink ref="I34" r:id="rId8" display="https://docs.google.com/document/d/1Hv85PrHAEbg3SU8cE0pWDm6h-39xJLpnDe5u2JhcZ98/edit?usp=sharing" xr:uid="{14D0D643-146A-4728-BFA0-429141BD75DE}"/>
    <hyperlink ref="J34" r:id="rId9" display="https://docs.google.com/document/d/1J05sVgsrQUfi9-pBKSHZ9_d9lze9NaSj8PzzPqumGJk/edit?usp=sharing" xr:uid="{4B21D7F7-7A7E-48D8-A6F4-92CA67DA0575}"/>
    <hyperlink ref="K34" r:id="rId10" display="https://docs.google.com/document/d/1PISPzmEbS-p3qw4CZohxzjCg7XlYLQCEpMyt0SREpJY/edit?usp=sharing" xr:uid="{6E48AF94-722A-4CD2-9DE9-C72EAA2A363D}"/>
    <hyperlink ref="L34" r:id="rId11" display="https://docs.google.com/document/d/14vRvv1qRwbLQ8MOtktNHzaf4vE1iNrwMvN-4lLBEVgI/edit?usp=sharing" xr:uid="{2C498BC1-D8F6-4C63-A662-2C38D9A7E61D}"/>
    <hyperlink ref="M34" r:id="rId12" display="https://docs.google.com/document/d/1hF5JZrJlK2Le2Ny27UjciHKk4QeHXEAD32IOHzlXtz8/edit?usp=sharing" xr:uid="{B7C2DFE5-77E1-454A-9F02-1D42B16BAB76}"/>
    <hyperlink ref="N34" r:id="rId13" display="https://docs.google.com/document/d/1TOXknXi7KqF5wbKFvTCpz1oaBOyy9-SaX85EUf5KdQc/edit?usp=sharing" xr:uid="{5A289FD9-04EF-4C38-9A0B-E78935E333D3}"/>
    <hyperlink ref="O34" r:id="rId14" display="https://docs.google.com/document/d/1rYClbQlZS8Dpw8qK6r1CSacQfGXnnY2AD1VwBJbv2sI/edit?usp=sharing" xr:uid="{FD0E3F1C-89AA-431C-844B-2F3533664EDB}"/>
    <hyperlink ref="P34" r:id="rId15" display="https://docs.google.com/document/d/1gHrscOePA5DxOtLMyD-8pvOgeiXBSTfsMQ_19yPS0yU/edit?usp=sharing" xr:uid="{D0E1EC1D-631C-4535-B929-4EA0D48A2275}"/>
    <hyperlink ref="Q34" r:id="rId16" display="https://docs.google.com/document/d/1tsCZ_i-S3ZCEZOWZ3n_ElroJO0uvSYrdjB3znM5LbMc/edit?usp=sharing" xr:uid="{9005B7E6-DA36-413F-9F13-C31C375CC69B}"/>
    <hyperlink ref="R34" r:id="rId17" display="https://docs.google.com/document/d/1Xf264nJV2Ew8VsmahQL-wIQKGzCN2s1f7vVbbSsUcRs/edit?usp=sharing" xr:uid="{9E19AB8B-E9C2-468F-84A1-4155F06591E2}"/>
    <hyperlink ref="S34" r:id="rId18" display="https://docs.google.com/document/d/1ULlEtMH2g_o3138RdIA1yedcgZAJATrkWqCrcEsB0RY/edit?usp=sharing" xr:uid="{68C48195-BC32-4319-97F8-B3B91D5538B8}"/>
    <hyperlink ref="T34" r:id="rId19" display="https://docs.google.com/document/d/1sE8ambbOSKiQf4LjAzsBf-yyNo9LY5E0RGWrfScaNps/edit?usp=sharing" xr:uid="{9A5A9A2E-19FA-4967-B10A-38343236ABEE}"/>
    <hyperlink ref="U34" r:id="rId20" display="https://docs.google.com/document/d/1OihczCcLnHJ7hkxBuXHN70oahKOtW3HqaomB9HEODKg/edit?usp=sharing" xr:uid="{90419AF5-CC51-4170-B673-1D5C00C261AE}"/>
    <hyperlink ref="V34" r:id="rId21" display="https://docs.google.com/document/d/1-9QxnN96puaW_eHLDUy4gAYTHaHYF7WGdExffJUJ9Nk/edit?usp=sharing" xr:uid="{496DA3E3-DD89-4F68-A3C7-A78DA3CAC0D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6BDF0-A754-4BE8-9143-08E9F9CCA031}">
  <dimension ref="A1:AI62"/>
  <sheetViews>
    <sheetView workbookViewId="0">
      <pane xSplit="1" ySplit="2" topLeftCell="B3" activePane="bottomRight" state="frozen"/>
      <selection activeCell="C5" sqref="C5"/>
      <selection pane="topRight" activeCell="C5" sqref="C5"/>
      <selection pane="bottomLeft" activeCell="C5" sqref="C5"/>
      <selection pane="bottomRight" activeCell="C5" sqref="C5"/>
    </sheetView>
  </sheetViews>
  <sheetFormatPr defaultRowHeight="14.4" x14ac:dyDescent="0.55000000000000004"/>
  <cols>
    <col min="1" max="1" width="45.68359375" customWidth="1"/>
    <col min="2" max="2" width="19.3671875" customWidth="1"/>
    <col min="3" max="3" width="33.7890625" customWidth="1"/>
    <col min="4" max="4" width="16.05078125" customWidth="1"/>
    <col min="5" max="5" width="19.3671875" customWidth="1"/>
    <col min="6" max="6" width="19.05078125" customWidth="1"/>
    <col min="7" max="7" width="20.3125" customWidth="1"/>
    <col min="8" max="8" width="13.9453125" customWidth="1"/>
    <col min="9" max="9" width="14.89453125" customWidth="1"/>
  </cols>
  <sheetData>
    <row r="1" spans="1:35" x14ac:dyDescent="0.55000000000000004">
      <c r="A1" s="142" t="s">
        <v>105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37" t="s">
        <v>26</v>
      </c>
      <c r="M1" s="137"/>
      <c r="N1" s="137"/>
      <c r="O1" s="137"/>
      <c r="P1" s="137"/>
      <c r="Q1" s="137"/>
      <c r="R1" s="137"/>
      <c r="S1" s="137"/>
      <c r="T1" s="137" t="s">
        <v>141</v>
      </c>
      <c r="U1" s="137"/>
      <c r="V1" s="137"/>
      <c r="W1" s="137"/>
      <c r="X1" s="137"/>
      <c r="Y1" s="137"/>
      <c r="Z1" s="137"/>
      <c r="AA1" s="137"/>
      <c r="AB1" s="137" t="s">
        <v>27</v>
      </c>
      <c r="AC1" s="137"/>
      <c r="AD1" s="137"/>
      <c r="AE1" s="137"/>
      <c r="AF1" s="137"/>
      <c r="AG1" s="137"/>
      <c r="AH1" s="137"/>
      <c r="AI1" s="137"/>
    </row>
    <row r="2" spans="1:35" x14ac:dyDescent="0.55000000000000004">
      <c r="A2" s="49" t="s">
        <v>106</v>
      </c>
      <c r="B2" s="18" t="s">
        <v>119</v>
      </c>
      <c r="C2" t="s">
        <v>116</v>
      </c>
      <c r="D2" s="18" t="s">
        <v>114</v>
      </c>
      <c r="E2" s="18" t="s">
        <v>115</v>
      </c>
      <c r="F2" s="18" t="s">
        <v>117</v>
      </c>
      <c r="G2" s="17" t="s">
        <v>118</v>
      </c>
      <c r="H2" s="17" t="s">
        <v>120</v>
      </c>
      <c r="I2" s="17" t="s">
        <v>121</v>
      </c>
      <c r="L2" s="18" t="s">
        <v>119</v>
      </c>
      <c r="M2" t="s">
        <v>116</v>
      </c>
      <c r="N2" s="18" t="s">
        <v>114</v>
      </c>
      <c r="O2" s="18" t="s">
        <v>115</v>
      </c>
      <c r="P2" s="18" t="s">
        <v>117</v>
      </c>
      <c r="Q2" s="17" t="s">
        <v>118</v>
      </c>
      <c r="R2" s="17" t="s">
        <v>120</v>
      </c>
      <c r="S2" s="17" t="s">
        <v>121</v>
      </c>
      <c r="T2" s="18" t="s">
        <v>119</v>
      </c>
      <c r="U2" t="s">
        <v>116</v>
      </c>
      <c r="V2" s="18" t="s">
        <v>114</v>
      </c>
      <c r="W2" s="18" t="s">
        <v>115</v>
      </c>
      <c r="X2" s="18" t="s">
        <v>117</v>
      </c>
      <c r="Y2" s="17" t="s">
        <v>118</v>
      </c>
      <c r="Z2" s="17" t="s">
        <v>120</v>
      </c>
      <c r="AA2" s="17" t="s">
        <v>121</v>
      </c>
      <c r="AB2" s="18" t="s">
        <v>119</v>
      </c>
      <c r="AC2" t="s">
        <v>116</v>
      </c>
      <c r="AD2" s="18" t="s">
        <v>114</v>
      </c>
      <c r="AE2" s="18" t="s">
        <v>115</v>
      </c>
      <c r="AF2" s="18" t="s">
        <v>117</v>
      </c>
      <c r="AG2" s="17" t="s">
        <v>118</v>
      </c>
      <c r="AH2" s="17" t="s">
        <v>120</v>
      </c>
      <c r="AI2" s="17" t="s">
        <v>121</v>
      </c>
    </row>
    <row r="3" spans="1:35" x14ac:dyDescent="0.55000000000000004">
      <c r="A3" s="5" t="s">
        <v>31</v>
      </c>
      <c r="B3" s="3">
        <f>'Top Level Case Parameters'!I18</f>
        <v>1200</v>
      </c>
      <c r="C3" s="52">
        <f>3*B31*B30*B33^3 + 256*B31*B30*B33^2*LOG(2*B33,2)</f>
        <v>5411658792960000</v>
      </c>
      <c r="D3" s="50">
        <f>(3*B31*B30*B33^2 + 96*B31*B30*B33^2)</f>
        <v>58133053440000</v>
      </c>
      <c r="E3" s="50">
        <f>16*B33^2</f>
        <v>67108864</v>
      </c>
      <c r="F3" s="36">
        <f>D3*$B$21</f>
        <v>465064427520000</v>
      </c>
      <c r="G3" s="36">
        <f t="shared" ref="G3:G14" si="0">E3*B$21</f>
        <v>536870912</v>
      </c>
      <c r="H3" s="36">
        <f>C3/B3</f>
        <v>4509715660800</v>
      </c>
      <c r="I3" s="36">
        <f>F3/B3</f>
        <v>387553689600</v>
      </c>
      <c r="L3" s="3">
        <f>'Top Level Case Parameters'!G18</f>
        <v>1200</v>
      </c>
      <c r="M3" s="52">
        <f>3*L31*L30*L33^3 + 256*L31*L30*L33^2*LOG(2*L33,2)</f>
        <v>197568495616000</v>
      </c>
      <c r="N3" s="50">
        <f>(3*L31*L30*L33^2 + 96*L31*L30*L33^2)</f>
        <v>3321888768000</v>
      </c>
      <c r="O3" s="50">
        <f>16*L33^2</f>
        <v>16777216</v>
      </c>
      <c r="P3" s="36">
        <f>N3*$B$21</f>
        <v>26575110144000</v>
      </c>
      <c r="Q3" s="36">
        <f>O3*$B$21</f>
        <v>134217728</v>
      </c>
      <c r="R3" s="36">
        <f>M3/L3</f>
        <v>164640413013.33334</v>
      </c>
      <c r="S3" s="36">
        <f>P3/L3</f>
        <v>22145925120</v>
      </c>
      <c r="T3" s="3">
        <f>'Top Level Case Parameters'!D18</f>
        <v>1200</v>
      </c>
      <c r="U3" s="52">
        <f>3*T31*T30*T33^3 + 256*T31*T30*T33^2*LOG(2*T33,2)</f>
        <v>5411658792960000</v>
      </c>
      <c r="V3" s="50">
        <f>(3*T31*T30*T33^2 + 96*T31*T30*T33^2)</f>
        <v>58133053440000</v>
      </c>
      <c r="W3" s="50">
        <f>16*T33^2</f>
        <v>67108864</v>
      </c>
      <c r="X3" s="36">
        <f>V3*$B$21</f>
        <v>465064427520000</v>
      </c>
      <c r="Y3" s="36">
        <f>W3*$B$21</f>
        <v>536870912</v>
      </c>
      <c r="Z3" s="36">
        <f>U3/T3</f>
        <v>4509715660800</v>
      </c>
      <c r="AA3" s="36">
        <f>X3/T3</f>
        <v>387553689600</v>
      </c>
      <c r="AB3" s="3">
        <f>'Top Level Case Parameters'!H18</f>
        <v>1200</v>
      </c>
      <c r="AC3" s="52">
        <f>3*AB31*AB30*AB33^3 + 256*AB31*AB30*AB33^2*LOG(2*AB33,2)</f>
        <v>1.3623636262912E+17</v>
      </c>
      <c r="AD3" s="50">
        <f>(3*AB31*AB30*AB33^2 + 96*AB31*AB30*AB33^2)</f>
        <v>863691079680000</v>
      </c>
      <c r="AE3" s="50">
        <f>16*AB33^2</f>
        <v>268435456</v>
      </c>
      <c r="AF3" s="36">
        <f>AD3*$B$21</f>
        <v>6909528637440000</v>
      </c>
      <c r="AG3" s="36">
        <f>AE3*$B$21</f>
        <v>2147483648</v>
      </c>
      <c r="AH3" s="36">
        <f>AC3/AB3</f>
        <v>113530302190933.33</v>
      </c>
      <c r="AI3" s="36">
        <f>AF3/AB3</f>
        <v>5757940531200</v>
      </c>
    </row>
    <row r="4" spans="1:35" x14ac:dyDescent="0.55000000000000004">
      <c r="A4" s="3" t="s">
        <v>32</v>
      </c>
      <c r="B4" s="3">
        <f>'Top Level Case Parameters'!I19</f>
        <v>1200</v>
      </c>
      <c r="C4" s="52">
        <f>2*B31*B29*B30^2</f>
        <v>101920000000000</v>
      </c>
      <c r="D4" s="50">
        <f>2 * B31 * B29 * (B30^2)</f>
        <v>101920000000000</v>
      </c>
      <c r="E4" s="50">
        <f>2 * B31 * B29 * B30</f>
        <v>7280000000</v>
      </c>
      <c r="F4" s="36">
        <f t="shared" ref="F4:F14" si="1">D4*$B$21</f>
        <v>815360000000000</v>
      </c>
      <c r="G4" s="36">
        <f t="shared" si="0"/>
        <v>58240000000</v>
      </c>
      <c r="H4" s="36">
        <f t="shared" ref="H4:H14" si="2">C4/B4</f>
        <v>84933333333.333328</v>
      </c>
      <c r="I4" s="36">
        <f t="shared" ref="I4:I14" si="3">F4/B4</f>
        <v>679466666666.66663</v>
      </c>
      <c r="L4" s="3">
        <f>'Top Level Case Parameters'!G19</f>
        <v>1200</v>
      </c>
      <c r="M4" s="52">
        <f>2*L31*L29*L30^2</f>
        <v>5324800000000</v>
      </c>
      <c r="N4" s="50">
        <f>2 * L31 * L29 * (L30^2)</f>
        <v>5324800000000</v>
      </c>
      <c r="O4" s="50">
        <f>2 * L31 * L29 * L30</f>
        <v>832000000</v>
      </c>
      <c r="P4" s="36">
        <f t="shared" ref="P4:P14" si="4">N4*$B$21</f>
        <v>42598400000000</v>
      </c>
      <c r="Q4" s="36">
        <f t="shared" ref="Q4:Q14" si="5">O4*$B$21</f>
        <v>6656000000</v>
      </c>
      <c r="R4" s="36">
        <f t="shared" ref="R4:R14" si="6">M4/L4</f>
        <v>4437333333.333333</v>
      </c>
      <c r="S4" s="36">
        <f t="shared" ref="S4:S14" si="7">P4/L4</f>
        <v>35498666666.666664</v>
      </c>
      <c r="T4" s="3">
        <f>'Top Level Case Parameters'!D19</f>
        <v>1200</v>
      </c>
      <c r="U4" s="52">
        <f>2*T31*T29*T30^2</f>
        <v>101920000000000</v>
      </c>
      <c r="V4" s="50">
        <f>2 * T31 * T29 * (T30^2)</f>
        <v>101920000000000</v>
      </c>
      <c r="W4" s="50">
        <f>2 * T31 * T29 * T30</f>
        <v>7280000000</v>
      </c>
      <c r="X4" s="36">
        <f t="shared" ref="X4:X14" si="8">V4*$B$21</f>
        <v>815360000000000</v>
      </c>
      <c r="Y4" s="36">
        <f t="shared" ref="Y4:Y14" si="9">W4*$B$21</f>
        <v>58240000000</v>
      </c>
      <c r="Z4" s="36">
        <f t="shared" ref="Z4:Z14" si="10">U4/T4</f>
        <v>84933333333.333328</v>
      </c>
      <c r="AA4" s="36">
        <f t="shared" ref="AA4:AA14" si="11">X4/T4</f>
        <v>679466666666.66663</v>
      </c>
      <c r="AB4" s="3">
        <f>'Top Level Case Parameters'!H19</f>
        <v>1200</v>
      </c>
      <c r="AC4" s="52">
        <f>2*AB31*AB29*AB30^2</f>
        <v>1379040000000000</v>
      </c>
      <c r="AD4" s="50">
        <f>2 * AB31 * AB29 * (AB30^2)</f>
        <v>1379040000000000</v>
      </c>
      <c r="AE4" s="50">
        <f>2 * AB31 * AB29 * AB30</f>
        <v>53040000000</v>
      </c>
      <c r="AF4" s="36">
        <f t="shared" ref="AF4:AF14" si="12">AD4*$B$21</f>
        <v>1.103232E+16</v>
      </c>
      <c r="AG4" s="36">
        <f t="shared" ref="AG4:AG14" si="13">AE4*$B$21</f>
        <v>424320000000</v>
      </c>
      <c r="AH4" s="36">
        <f t="shared" ref="AH4:AH14" si="14">AC4/AB4</f>
        <v>1149200000000</v>
      </c>
      <c r="AI4" s="36">
        <f t="shared" ref="AI4:AI14" si="15">AF4/AB4</f>
        <v>9193600000000</v>
      </c>
    </row>
    <row r="5" spans="1:35" x14ac:dyDescent="0.55000000000000004">
      <c r="A5" s="3" t="s">
        <v>33</v>
      </c>
      <c r="B5" s="3">
        <f>'Top Level Case Parameters'!I20</f>
        <v>600</v>
      </c>
      <c r="C5" s="51">
        <f>(2/3) * (B30^3)</f>
        <v>1829333333333.3333</v>
      </c>
      <c r="D5" s="51">
        <f>(1/2) * (B30^3)</f>
        <v>1372000000000</v>
      </c>
      <c r="E5" s="51">
        <f>2 * B31 * B29 * B30</f>
        <v>7280000000</v>
      </c>
      <c r="F5" s="36">
        <f t="shared" si="1"/>
        <v>10976000000000</v>
      </c>
      <c r="G5" s="36">
        <f t="shared" si="0"/>
        <v>58240000000</v>
      </c>
      <c r="H5" s="36">
        <f t="shared" si="2"/>
        <v>3048888888.8888888</v>
      </c>
      <c r="I5" s="36">
        <f t="shared" si="3"/>
        <v>18293333333.333332</v>
      </c>
      <c r="L5" s="3">
        <f>'Top Level Case Parameters'!G20</f>
        <v>600</v>
      </c>
      <c r="M5" s="51">
        <f>(2/3) * (L30^3)</f>
        <v>174762666666.66666</v>
      </c>
      <c r="N5" s="51">
        <f>(1/2) * (L30^3)</f>
        <v>131072000000</v>
      </c>
      <c r="O5" s="51">
        <f>2 * L31 * L29 * L30</f>
        <v>832000000</v>
      </c>
      <c r="P5" s="36">
        <f t="shared" si="4"/>
        <v>1048576000000</v>
      </c>
      <c r="Q5" s="36">
        <f t="shared" si="5"/>
        <v>6656000000</v>
      </c>
      <c r="R5" s="36">
        <f t="shared" si="6"/>
        <v>291271111.1111111</v>
      </c>
      <c r="S5" s="36">
        <f t="shared" si="7"/>
        <v>1747626666.6666667</v>
      </c>
      <c r="T5" s="3">
        <f>'Top Level Case Parameters'!D20</f>
        <v>600</v>
      </c>
      <c r="U5" s="51">
        <f>(2/3) * (T30^3)</f>
        <v>1829333333333.3333</v>
      </c>
      <c r="V5" s="51">
        <f>(1/2) * (T30^3)</f>
        <v>1372000000000</v>
      </c>
      <c r="W5" s="51">
        <f>2 * T31 * T29 * T30</f>
        <v>7280000000</v>
      </c>
      <c r="X5" s="36">
        <f t="shared" si="8"/>
        <v>10976000000000</v>
      </c>
      <c r="Y5" s="36">
        <f t="shared" si="9"/>
        <v>58240000000</v>
      </c>
      <c r="Z5" s="36">
        <f t="shared" si="10"/>
        <v>3048888888.8888888</v>
      </c>
      <c r="AA5" s="36">
        <f t="shared" si="11"/>
        <v>18293333333.333332</v>
      </c>
      <c r="AB5" s="3">
        <f>'Top Level Case Parameters'!H20</f>
        <v>600</v>
      </c>
      <c r="AC5" s="51">
        <f>(2/3) * (AB30^3)</f>
        <v>11717333333333.332</v>
      </c>
      <c r="AD5" s="51">
        <f>(1/2) * (AB30^3)</f>
        <v>8788000000000</v>
      </c>
      <c r="AE5" s="51">
        <f>2 * AB31 * AB29 * AB30</f>
        <v>53040000000</v>
      </c>
      <c r="AF5" s="36">
        <f t="shared" si="12"/>
        <v>70304000000000</v>
      </c>
      <c r="AG5" s="36">
        <f t="shared" si="13"/>
        <v>424320000000</v>
      </c>
      <c r="AH5" s="36">
        <f t="shared" si="14"/>
        <v>19528888888.888885</v>
      </c>
      <c r="AI5" s="36">
        <f t="shared" si="15"/>
        <v>117173333333.33333</v>
      </c>
    </row>
    <row r="6" spans="1:35" x14ac:dyDescent="0.55000000000000004">
      <c r="A6" s="3" t="s">
        <v>34</v>
      </c>
      <c r="B6" s="3">
        <f>'Top Level Case Parameters'!I21</f>
        <v>10</v>
      </c>
      <c r="C6" s="52">
        <f>2 * B31 * B29 * B30</f>
        <v>7280000000</v>
      </c>
      <c r="D6" s="50">
        <f>2 * B31 * B29 * B30</f>
        <v>7280000000</v>
      </c>
      <c r="E6" s="50">
        <f>2 * B31 * B29 * B30</f>
        <v>7280000000</v>
      </c>
      <c r="F6" s="36">
        <f t="shared" si="1"/>
        <v>58240000000</v>
      </c>
      <c r="G6" s="36">
        <f t="shared" si="0"/>
        <v>58240000000</v>
      </c>
      <c r="H6" s="36">
        <f t="shared" si="2"/>
        <v>728000000</v>
      </c>
      <c r="I6" s="36">
        <f t="shared" si="3"/>
        <v>5824000000</v>
      </c>
      <c r="L6" s="3">
        <f>'Top Level Case Parameters'!G21</f>
        <v>100</v>
      </c>
      <c r="M6" s="52">
        <f>2 * L31 * L29 * L30</f>
        <v>832000000</v>
      </c>
      <c r="N6" s="50">
        <f>2 * L31 * L29 * L30</f>
        <v>832000000</v>
      </c>
      <c r="O6" s="50">
        <f>2 * L31 * L29 * L30</f>
        <v>832000000</v>
      </c>
      <c r="P6" s="36">
        <f t="shared" si="4"/>
        <v>6656000000</v>
      </c>
      <c r="Q6" s="36">
        <f t="shared" si="5"/>
        <v>6656000000</v>
      </c>
      <c r="R6" s="36">
        <f t="shared" si="6"/>
        <v>8320000</v>
      </c>
      <c r="S6" s="36">
        <f t="shared" si="7"/>
        <v>66560000</v>
      </c>
      <c r="T6" s="3">
        <f>'Top Level Case Parameters'!D21</f>
        <v>10</v>
      </c>
      <c r="U6" s="52">
        <f>2 * T31 * T29 * T30</f>
        <v>7280000000</v>
      </c>
      <c r="V6" s="50">
        <f>2 * T31 * T29 * T30</f>
        <v>7280000000</v>
      </c>
      <c r="W6" s="50">
        <f>2 * T31 * T29 * T30</f>
        <v>7280000000</v>
      </c>
      <c r="X6" s="36">
        <f t="shared" si="8"/>
        <v>58240000000</v>
      </c>
      <c r="Y6" s="36">
        <f t="shared" si="9"/>
        <v>58240000000</v>
      </c>
      <c r="Z6" s="36">
        <f t="shared" si="10"/>
        <v>728000000</v>
      </c>
      <c r="AA6" s="36">
        <f t="shared" si="11"/>
        <v>5824000000</v>
      </c>
      <c r="AB6" s="3">
        <f>'Top Level Case Parameters'!H21</f>
        <v>1</v>
      </c>
      <c r="AC6" s="52">
        <f>2 * AB31 * AB29 * AB30</f>
        <v>53040000000</v>
      </c>
      <c r="AD6" s="50">
        <f>2 * AB31 * AB29 * AB30</f>
        <v>53040000000</v>
      </c>
      <c r="AE6" s="50">
        <f>2 * AB31 * AB29 * AB30</f>
        <v>53040000000</v>
      </c>
      <c r="AF6" s="36">
        <f t="shared" si="12"/>
        <v>424320000000</v>
      </c>
      <c r="AG6" s="36">
        <f t="shared" si="13"/>
        <v>424320000000</v>
      </c>
      <c r="AH6" s="36">
        <f t="shared" si="14"/>
        <v>53040000000</v>
      </c>
      <c r="AI6" s="36">
        <f t="shared" si="15"/>
        <v>424320000000</v>
      </c>
    </row>
    <row r="7" spans="1:35" x14ac:dyDescent="0.55000000000000004">
      <c r="A7" s="3" t="s">
        <v>35</v>
      </c>
      <c r="B7" s="3">
        <f>'Top Level Case Parameters'!I22</f>
        <v>10</v>
      </c>
      <c r="C7" s="52">
        <f>4 * B29 * B32 * B31</f>
        <v>3120000</v>
      </c>
      <c r="D7" s="50">
        <f>2 * B29 * B31 * B32</f>
        <v>1560000</v>
      </c>
      <c r="E7" s="50">
        <f>2 * B29 * B31 * B32</f>
        <v>1560000</v>
      </c>
      <c r="F7" s="36">
        <f t="shared" si="1"/>
        <v>12480000</v>
      </c>
      <c r="G7" s="36">
        <f t="shared" si="0"/>
        <v>12480000</v>
      </c>
      <c r="H7" s="36">
        <f t="shared" si="2"/>
        <v>312000</v>
      </c>
      <c r="I7" s="36">
        <f t="shared" si="3"/>
        <v>1248000</v>
      </c>
      <c r="L7" s="3">
        <f>'Top Level Case Parameters'!G22</f>
        <v>100</v>
      </c>
      <c r="M7" s="52">
        <f>4 * L29 * L32 * L31</f>
        <v>780000</v>
      </c>
      <c r="N7" s="50">
        <f>2 * L29 * L31 * L32</f>
        <v>390000</v>
      </c>
      <c r="O7" s="50">
        <f>2 * L29 * L31 * L32</f>
        <v>390000</v>
      </c>
      <c r="P7" s="36">
        <f t="shared" si="4"/>
        <v>3120000</v>
      </c>
      <c r="Q7" s="36">
        <f t="shared" si="5"/>
        <v>3120000</v>
      </c>
      <c r="R7" s="36">
        <f t="shared" si="6"/>
        <v>7800</v>
      </c>
      <c r="S7" s="36">
        <f t="shared" si="7"/>
        <v>31200</v>
      </c>
      <c r="T7" s="3">
        <f>'Top Level Case Parameters'!D22</f>
        <v>10</v>
      </c>
      <c r="U7" s="52">
        <f>4 * T29 * T32 * T31</f>
        <v>3120000</v>
      </c>
      <c r="V7" s="50">
        <f>2 * T29 * T31 * T32</f>
        <v>1560000</v>
      </c>
      <c r="W7" s="50">
        <f>2 * T29 * T31 * T32</f>
        <v>1560000</v>
      </c>
      <c r="X7" s="36">
        <f t="shared" si="8"/>
        <v>12480000</v>
      </c>
      <c r="Y7" s="36">
        <f t="shared" si="9"/>
        <v>12480000</v>
      </c>
      <c r="Z7" s="36">
        <f t="shared" si="10"/>
        <v>312000</v>
      </c>
      <c r="AA7" s="36">
        <f t="shared" si="11"/>
        <v>1248000</v>
      </c>
      <c r="AB7" s="3">
        <f>'Top Level Case Parameters'!H22</f>
        <v>1</v>
      </c>
      <c r="AC7" s="52">
        <f>4 * AB29 * AB32 * AB31</f>
        <v>12240000</v>
      </c>
      <c r="AD7" s="50">
        <f>2 * AB29 * AB31 * AB32</f>
        <v>6120000</v>
      </c>
      <c r="AE7" s="50">
        <f>2 * AB29 * AB31 * AB32</f>
        <v>6120000</v>
      </c>
      <c r="AF7" s="36">
        <f t="shared" si="12"/>
        <v>48960000</v>
      </c>
      <c r="AG7" s="36">
        <f t="shared" si="13"/>
        <v>48960000</v>
      </c>
      <c r="AH7" s="36">
        <f t="shared" si="14"/>
        <v>12240000</v>
      </c>
      <c r="AI7" s="36">
        <f t="shared" si="15"/>
        <v>48960000</v>
      </c>
    </row>
    <row r="8" spans="1:35" x14ac:dyDescent="0.55000000000000004">
      <c r="A8" s="3" t="s">
        <v>36</v>
      </c>
      <c r="B8" s="3">
        <f>'Top Level Case Parameters'!I23</f>
        <v>10</v>
      </c>
      <c r="C8" s="52">
        <f>B31 * B29 * (B30^2)</f>
        <v>50960000000000</v>
      </c>
      <c r="D8" s="50">
        <f>B31 * B29 * (B30^2)</f>
        <v>50960000000000</v>
      </c>
      <c r="E8" s="50">
        <f>2 * B31 * B29 * B30</f>
        <v>7280000000</v>
      </c>
      <c r="F8" s="36">
        <f t="shared" si="1"/>
        <v>407680000000000</v>
      </c>
      <c r="G8" s="36">
        <f t="shared" si="0"/>
        <v>58240000000</v>
      </c>
      <c r="H8" s="36">
        <f t="shared" si="2"/>
        <v>5096000000000</v>
      </c>
      <c r="I8" s="36">
        <f t="shared" si="3"/>
        <v>40768000000000</v>
      </c>
      <c r="L8" s="3">
        <f>'Top Level Case Parameters'!G23</f>
        <v>100</v>
      </c>
      <c r="M8" s="52">
        <f>L31 * L29 * (L30^2)</f>
        <v>2662400000000</v>
      </c>
      <c r="N8" s="50">
        <f>L31 * L29 * (L30^2)</f>
        <v>2662400000000</v>
      </c>
      <c r="O8" s="50">
        <f>2 * L31 * L29 * L30</f>
        <v>832000000</v>
      </c>
      <c r="P8" s="36">
        <f t="shared" si="4"/>
        <v>21299200000000</v>
      </c>
      <c r="Q8" s="36">
        <f t="shared" si="5"/>
        <v>6656000000</v>
      </c>
      <c r="R8" s="36">
        <f t="shared" si="6"/>
        <v>26624000000</v>
      </c>
      <c r="S8" s="36">
        <f t="shared" si="7"/>
        <v>212992000000</v>
      </c>
      <c r="T8" s="3">
        <f>'Top Level Case Parameters'!D23</f>
        <v>10</v>
      </c>
      <c r="U8" s="52">
        <f>T31 * T29 * (T30^2)</f>
        <v>50960000000000</v>
      </c>
      <c r="V8" s="50">
        <f>T31 * T29 * (T30^2)</f>
        <v>50960000000000</v>
      </c>
      <c r="W8" s="50">
        <f>2 * T31 * T29 * T30</f>
        <v>7280000000</v>
      </c>
      <c r="X8" s="36">
        <f t="shared" si="8"/>
        <v>407680000000000</v>
      </c>
      <c r="Y8" s="36">
        <f t="shared" si="9"/>
        <v>58240000000</v>
      </c>
      <c r="Z8" s="36">
        <f t="shared" si="10"/>
        <v>5096000000000</v>
      </c>
      <c r="AA8" s="36">
        <f t="shared" si="11"/>
        <v>40768000000000</v>
      </c>
      <c r="AB8" s="3">
        <f>'Top Level Case Parameters'!H23</f>
        <v>1</v>
      </c>
      <c r="AC8" s="52">
        <f>AB31 * AB29 * (AB30^2)</f>
        <v>689520000000000</v>
      </c>
      <c r="AD8" s="50">
        <f>AB31 * AB29 * (AB30^2)</f>
        <v>689520000000000</v>
      </c>
      <c r="AE8" s="50">
        <f>2 * AB31 * AB29 * AB30</f>
        <v>53040000000</v>
      </c>
      <c r="AF8" s="36">
        <f t="shared" si="12"/>
        <v>5516160000000000</v>
      </c>
      <c r="AG8" s="36">
        <f t="shared" si="13"/>
        <v>424320000000</v>
      </c>
      <c r="AH8" s="36">
        <f t="shared" si="14"/>
        <v>689520000000000</v>
      </c>
      <c r="AI8" s="36">
        <f t="shared" si="15"/>
        <v>5516160000000000</v>
      </c>
    </row>
    <row r="9" spans="1:35" x14ac:dyDescent="0.55000000000000004">
      <c r="A9" s="3" t="s">
        <v>37</v>
      </c>
      <c r="B9" s="3">
        <f>'Top Level Case Parameters'!I24</f>
        <v>10</v>
      </c>
      <c r="C9" s="52">
        <f>3*B31*B34*B33^3 + 256 * B31 * B34 * B33^2 * LOG(2*B33,2)</f>
        <v>3865470566400</v>
      </c>
      <c r="D9" s="50">
        <f xml:space="preserve"> 3 * B31 * B34 * B33^3 + 96*B31 * B34 * B33^2</f>
        <v>2617245696000</v>
      </c>
      <c r="E9" s="50">
        <f>(12 * B31 + 16)*B33^2</f>
        <v>570425344</v>
      </c>
      <c r="F9" s="36">
        <f t="shared" si="1"/>
        <v>20937965568000</v>
      </c>
      <c r="G9" s="36">
        <f t="shared" si="0"/>
        <v>4563402752</v>
      </c>
      <c r="H9" s="36">
        <f t="shared" si="2"/>
        <v>386547056640</v>
      </c>
      <c r="I9" s="36">
        <f t="shared" si="3"/>
        <v>2093796556800</v>
      </c>
      <c r="L9" s="3">
        <f>'Top Level Case Parameters'!G24</f>
        <v>100</v>
      </c>
      <c r="M9" s="52">
        <f>3*L31*L34*L33^3 + 256 * L31 * L34 * L33^2 * LOG(2*L33,2)</f>
        <v>308700774400</v>
      </c>
      <c r="N9" s="50">
        <f xml:space="preserve"> 3 * L31 * L34 * L33^3 + 96*L31 * L34 * L33^2</f>
        <v>166094438400</v>
      </c>
      <c r="O9" s="50">
        <f>(12 * L31 + 16)*L33^2</f>
        <v>79691776</v>
      </c>
      <c r="P9" s="36">
        <f t="shared" si="4"/>
        <v>1328755507200</v>
      </c>
      <c r="Q9" s="36">
        <f t="shared" si="5"/>
        <v>637534208</v>
      </c>
      <c r="R9" s="36">
        <f t="shared" si="6"/>
        <v>3087007744</v>
      </c>
      <c r="S9" s="36">
        <f t="shared" si="7"/>
        <v>13287555072</v>
      </c>
      <c r="T9" s="3">
        <f>'Top Level Case Parameters'!D24</f>
        <v>10</v>
      </c>
      <c r="U9" s="52">
        <f>3*T31*T34*T33^3 + 256 * T31 * T34 * T33^2 * LOG(2*T33,2)</f>
        <v>3865470566400</v>
      </c>
      <c r="V9" s="50">
        <f xml:space="preserve"> 3 * T31 * T34 * T33^3 + 96*T31 * T34 * T33^2</f>
        <v>2617245696000</v>
      </c>
      <c r="W9" s="50">
        <f>(12 * T31 + 16)*T33^2</f>
        <v>570425344</v>
      </c>
      <c r="X9" s="36">
        <f t="shared" si="8"/>
        <v>20937965568000</v>
      </c>
      <c r="Y9" s="36">
        <f t="shared" si="9"/>
        <v>4563402752</v>
      </c>
      <c r="Z9" s="36">
        <f t="shared" si="10"/>
        <v>386547056640</v>
      </c>
      <c r="AA9" s="36">
        <f t="shared" si="11"/>
        <v>2093796556800</v>
      </c>
      <c r="AB9" s="3">
        <f>'Top Level Case Parameters'!H24</f>
        <v>1</v>
      </c>
      <c r="AC9" s="52">
        <f>3*AB31*AB34*AB33^3 + 256 * AB31 * AB34 * AB33^2 * LOG(2*AB33,2)</f>
        <v>52398601011200</v>
      </c>
      <c r="AD9" s="50">
        <f xml:space="preserve"> 3 * AB31 * AB34 * AB33^3 + 96*AB31 * AB34 * AB33^2</f>
        <v>41553808588800</v>
      </c>
      <c r="AE9" s="50">
        <f>(12 * AB31 + 16)*AB33^2</f>
        <v>4294967296</v>
      </c>
      <c r="AF9" s="36">
        <f t="shared" si="12"/>
        <v>332430468710400</v>
      </c>
      <c r="AG9" s="36">
        <f t="shared" si="13"/>
        <v>34359738368</v>
      </c>
      <c r="AH9" s="36">
        <f t="shared" si="14"/>
        <v>52398601011200</v>
      </c>
      <c r="AI9" s="36">
        <f t="shared" si="15"/>
        <v>332430468710400</v>
      </c>
    </row>
    <row r="10" spans="1:35" x14ac:dyDescent="0.55000000000000004">
      <c r="A10" s="3" t="s">
        <v>38</v>
      </c>
      <c r="B10" s="3">
        <f>'Top Level Case Parameters'!I25</f>
        <v>10</v>
      </c>
      <c r="C10" s="52">
        <f>2*B29*B30^2 + B35/3 * B30^3</f>
        <v>19338666666666.668</v>
      </c>
      <c r="D10" s="50">
        <f>2*B29*B30^2+B35/6 * B30^3</f>
        <v>14765333333333.334</v>
      </c>
      <c r="E10" s="50">
        <f>2*B29*B30</f>
        <v>728000000</v>
      </c>
      <c r="F10" s="36">
        <f t="shared" si="1"/>
        <v>118122666666666.67</v>
      </c>
      <c r="G10" s="36">
        <f t="shared" si="0"/>
        <v>5824000000</v>
      </c>
      <c r="H10" s="36">
        <f t="shared" si="2"/>
        <v>1933866666666.6667</v>
      </c>
      <c r="I10" s="36">
        <f t="shared" si="3"/>
        <v>11812266666666.668</v>
      </c>
      <c r="L10" s="3">
        <f>'Top Level Case Parameters'!G25</f>
        <v>100</v>
      </c>
      <c r="M10" s="52">
        <f>2*L29*L30^2 + L35/3 * L30^3</f>
        <v>1938773333333.3335</v>
      </c>
      <c r="N10" s="50">
        <f>2*L29*L30^2+L35/6 * L30^3</f>
        <v>1501866666666.6667</v>
      </c>
      <c r="O10" s="50">
        <f>2*L29*L30</f>
        <v>166400000</v>
      </c>
      <c r="P10" s="36">
        <f t="shared" si="4"/>
        <v>12014933333333.334</v>
      </c>
      <c r="Q10" s="36">
        <f t="shared" si="5"/>
        <v>1331200000</v>
      </c>
      <c r="R10" s="36">
        <f t="shared" si="6"/>
        <v>19387733333.333336</v>
      </c>
      <c r="S10" s="36">
        <f t="shared" si="7"/>
        <v>120149333333.33334</v>
      </c>
      <c r="T10" s="3">
        <f>'Top Level Case Parameters'!D25</f>
        <v>10</v>
      </c>
      <c r="U10" s="52">
        <f>2*T29*T30^2 + T35/3 * T30^3</f>
        <v>19338666666666.668</v>
      </c>
      <c r="V10" s="50">
        <f>2*T29*T30^2+T35/6 * T30^3</f>
        <v>14765333333333.334</v>
      </c>
      <c r="W10" s="50">
        <f>2*T29*T30</f>
        <v>728000000</v>
      </c>
      <c r="X10" s="36">
        <f t="shared" si="8"/>
        <v>118122666666666.67</v>
      </c>
      <c r="Y10" s="36">
        <f t="shared" si="9"/>
        <v>5824000000</v>
      </c>
      <c r="Z10" s="36">
        <f t="shared" si="10"/>
        <v>1933866666666.6667</v>
      </c>
      <c r="AA10" s="36">
        <f t="shared" si="11"/>
        <v>11812266666666.668</v>
      </c>
      <c r="AB10" s="3">
        <f>'Top Level Case Parameters'!H25</f>
        <v>1</v>
      </c>
      <c r="AC10" s="52">
        <f>2*AB29*AB30^2 + AB35/3 * AB30^3</f>
        <v>127538666666666.67</v>
      </c>
      <c r="AD10" s="50">
        <f>2*AB29*AB30^2+AB35/6 * AB30^3</f>
        <v>98245333333333.344</v>
      </c>
      <c r="AE10" s="50">
        <f>2*AB29*AB30</f>
        <v>2652000000</v>
      </c>
      <c r="AF10" s="36">
        <f t="shared" si="12"/>
        <v>785962666666666.75</v>
      </c>
      <c r="AG10" s="36">
        <f t="shared" si="13"/>
        <v>21216000000</v>
      </c>
      <c r="AH10" s="36">
        <f t="shared" si="14"/>
        <v>127538666666666.67</v>
      </c>
      <c r="AI10" s="36">
        <f t="shared" si="15"/>
        <v>785962666666666.75</v>
      </c>
    </row>
    <row r="11" spans="1:35" x14ac:dyDescent="0.55000000000000004">
      <c r="A11" s="3" t="s">
        <v>39</v>
      </c>
      <c r="B11" s="3">
        <f>'Top Level Case Parameters'!I26</f>
        <v>10</v>
      </c>
      <c r="C11" s="52">
        <f>2*B31*B29*B30</f>
        <v>7280000000</v>
      </c>
      <c r="D11" s="50">
        <f>2*B31*B29*B30</f>
        <v>7280000000</v>
      </c>
      <c r="E11" s="50">
        <f>2*B31*B29*B30</f>
        <v>7280000000</v>
      </c>
      <c r="F11" s="36">
        <f t="shared" si="1"/>
        <v>58240000000</v>
      </c>
      <c r="G11" s="36">
        <f t="shared" si="0"/>
        <v>58240000000</v>
      </c>
      <c r="H11" s="36">
        <f t="shared" si="2"/>
        <v>728000000</v>
      </c>
      <c r="I11" s="36">
        <f t="shared" si="3"/>
        <v>5824000000</v>
      </c>
      <c r="L11" s="3">
        <f>'Top Level Case Parameters'!G26</f>
        <v>100</v>
      </c>
      <c r="M11" s="52">
        <f>2*L31*L29*L30</f>
        <v>832000000</v>
      </c>
      <c r="N11" s="50">
        <f>2*L31*L29*L30</f>
        <v>832000000</v>
      </c>
      <c r="O11" s="50">
        <f>2*L31*L29*L30</f>
        <v>832000000</v>
      </c>
      <c r="P11" s="36">
        <f t="shared" si="4"/>
        <v>6656000000</v>
      </c>
      <c r="Q11" s="36">
        <f t="shared" si="5"/>
        <v>6656000000</v>
      </c>
      <c r="R11" s="36">
        <f t="shared" si="6"/>
        <v>8320000</v>
      </c>
      <c r="S11" s="36">
        <f t="shared" si="7"/>
        <v>66560000</v>
      </c>
      <c r="T11" s="3">
        <f>'Top Level Case Parameters'!D26</f>
        <v>10</v>
      </c>
      <c r="U11" s="52">
        <f>2*T31*T29*T30</f>
        <v>7280000000</v>
      </c>
      <c r="V11" s="50">
        <f>2*T31*T29*T30</f>
        <v>7280000000</v>
      </c>
      <c r="W11" s="50">
        <f>2*T31*T29*T30</f>
        <v>7280000000</v>
      </c>
      <c r="X11" s="36">
        <f t="shared" si="8"/>
        <v>58240000000</v>
      </c>
      <c r="Y11" s="36">
        <f t="shared" si="9"/>
        <v>58240000000</v>
      </c>
      <c r="Z11" s="36">
        <f t="shared" si="10"/>
        <v>728000000</v>
      </c>
      <c r="AA11" s="36">
        <f t="shared" si="11"/>
        <v>5824000000</v>
      </c>
      <c r="AB11" s="3">
        <f>'Top Level Case Parameters'!H26</f>
        <v>1</v>
      </c>
      <c r="AC11" s="52">
        <f>2*AB31*AB29*AB30</f>
        <v>53040000000</v>
      </c>
      <c r="AD11" s="50">
        <f>2*AB31*AB29*AB30</f>
        <v>53040000000</v>
      </c>
      <c r="AE11" s="50">
        <f>2*AB31*AB29*AB30</f>
        <v>53040000000</v>
      </c>
      <c r="AF11" s="36">
        <f t="shared" si="12"/>
        <v>424320000000</v>
      </c>
      <c r="AG11" s="36">
        <f t="shared" si="13"/>
        <v>424320000000</v>
      </c>
      <c r="AH11" s="36">
        <f t="shared" si="14"/>
        <v>53040000000</v>
      </c>
      <c r="AI11" s="36">
        <f t="shared" si="15"/>
        <v>424320000000</v>
      </c>
    </row>
    <row r="12" spans="1:35" x14ac:dyDescent="0.55000000000000004">
      <c r="A12" s="3" t="s">
        <v>40</v>
      </c>
      <c r="B12" s="3">
        <f>'Top Level Case Parameters'!I27</f>
        <v>10</v>
      </c>
      <c r="C12" s="52">
        <f>24 * B31 * B37 * LOG(B37, 2)</f>
        <v>91517237.777491838</v>
      </c>
      <c r="D12" s="50">
        <f>6 * B31 * B37</f>
        <v>1560000</v>
      </c>
      <c r="E12" s="50">
        <f>2 * B31 * B37</f>
        <v>520000</v>
      </c>
      <c r="F12" s="36">
        <f t="shared" si="1"/>
        <v>12480000</v>
      </c>
      <c r="G12" s="36">
        <f t="shared" si="0"/>
        <v>4160000</v>
      </c>
      <c r="H12" s="36">
        <f t="shared" si="2"/>
        <v>9151723.7777491845</v>
      </c>
      <c r="I12" s="36">
        <f t="shared" si="3"/>
        <v>1248000</v>
      </c>
      <c r="L12" s="3">
        <f>'Top Level Case Parameters'!G27</f>
        <v>100</v>
      </c>
      <c r="M12" s="52">
        <f>24 * L31 * L37 * LOG(L37, 2)</f>
        <v>21319309.444372956</v>
      </c>
      <c r="N12" s="50">
        <f>6 * L31 * L37</f>
        <v>390000</v>
      </c>
      <c r="O12" s="50">
        <f>2 * L31 * L37</f>
        <v>130000</v>
      </c>
      <c r="P12" s="36">
        <f t="shared" si="4"/>
        <v>3120000</v>
      </c>
      <c r="Q12" s="36">
        <f t="shared" si="5"/>
        <v>1040000</v>
      </c>
      <c r="R12" s="36">
        <f t="shared" si="6"/>
        <v>213193.09444372955</v>
      </c>
      <c r="S12" s="36">
        <f t="shared" si="7"/>
        <v>31200</v>
      </c>
      <c r="T12" s="3">
        <f>'Top Level Case Parameters'!D27</f>
        <v>10</v>
      </c>
      <c r="U12" s="52">
        <f>24 * T31 * T37 * LOG(T37, 2)</f>
        <v>91517237.777491838</v>
      </c>
      <c r="V12" s="50">
        <f>6 * T31 * T37</f>
        <v>1560000</v>
      </c>
      <c r="W12" s="50">
        <f>2 * T31 * T37</f>
        <v>520000</v>
      </c>
      <c r="X12" s="36">
        <f t="shared" si="8"/>
        <v>12480000</v>
      </c>
      <c r="Y12" s="36">
        <f t="shared" si="9"/>
        <v>4160000</v>
      </c>
      <c r="Z12" s="36">
        <f t="shared" si="10"/>
        <v>9151723.7777491845</v>
      </c>
      <c r="AA12" s="36">
        <f t="shared" si="11"/>
        <v>1248000</v>
      </c>
      <c r="AB12" s="3">
        <f>'Top Level Case Parameters'!H27</f>
        <v>1</v>
      </c>
      <c r="AC12" s="52">
        <f>24 * AB31 * AB37 * LOG(AB37, 2)</f>
        <v>382823371.65999013</v>
      </c>
      <c r="AD12" s="50">
        <f>6 * AB31 * AB37</f>
        <v>6120000</v>
      </c>
      <c r="AE12" s="50">
        <f>2 * AB31 * AB37</f>
        <v>2040000</v>
      </c>
      <c r="AF12" s="36">
        <f t="shared" si="12"/>
        <v>48960000</v>
      </c>
      <c r="AG12" s="36">
        <f t="shared" si="13"/>
        <v>16320000</v>
      </c>
      <c r="AH12" s="36">
        <f t="shared" si="14"/>
        <v>382823371.65999013</v>
      </c>
      <c r="AI12" s="36">
        <f t="shared" si="15"/>
        <v>48960000</v>
      </c>
    </row>
    <row r="13" spans="1:35" x14ac:dyDescent="0.55000000000000004">
      <c r="A13" t="s">
        <v>41</v>
      </c>
      <c r="B13" s="3">
        <f>'Top Level Case Parameters'!I28</f>
        <v>1200</v>
      </c>
      <c r="C13" s="52">
        <f>16 * (B30^2) * B32 * B31 * B29</f>
        <v>2446080000000000</v>
      </c>
      <c r="D13" s="50">
        <f>4 * (2 + B32) * (B30^2) * B31 * B29</f>
        <v>1019200000000000</v>
      </c>
      <c r="E13" s="50">
        <f>2 * (B32 + 2) * B30 * B31 * B29</f>
        <v>36400000000</v>
      </c>
      <c r="F13" s="36">
        <f t="shared" si="1"/>
        <v>8153600000000000</v>
      </c>
      <c r="G13" s="36">
        <f t="shared" si="0"/>
        <v>291200000000</v>
      </c>
      <c r="H13" s="36">
        <f t="shared" si="2"/>
        <v>2038400000000</v>
      </c>
      <c r="I13" s="36">
        <f t="shared" si="3"/>
        <v>6794666666666.667</v>
      </c>
      <c r="L13" s="3">
        <f>'Top Level Case Parameters'!G28</f>
        <v>1200</v>
      </c>
      <c r="M13" s="52">
        <f>16 * (L30^2) * L32 * L31 * L29</f>
        <v>127795200000000</v>
      </c>
      <c r="N13" s="50">
        <f>4 * (2 + L32) * (L30^2) * L31 * L29</f>
        <v>53248000000000</v>
      </c>
      <c r="O13" s="50">
        <f>2 * (L32 + 2) * L30 * L31 * L29</f>
        <v>4160000000</v>
      </c>
      <c r="P13" s="36">
        <f t="shared" si="4"/>
        <v>425984000000000</v>
      </c>
      <c r="Q13" s="36">
        <f t="shared" si="5"/>
        <v>33280000000</v>
      </c>
      <c r="R13" s="36">
        <f t="shared" si="6"/>
        <v>106496000000</v>
      </c>
      <c r="S13" s="36">
        <f t="shared" si="7"/>
        <v>354986666666.66669</v>
      </c>
      <c r="T13" s="3">
        <f>'Top Level Case Parameters'!D28</f>
        <v>1200</v>
      </c>
      <c r="U13" s="52">
        <f>16 * (T30^2) * T32 * T31 * T29</f>
        <v>2446080000000000</v>
      </c>
      <c r="V13" s="50">
        <f>4 * (2 + T32) * (T30^2) * T31 * T29</f>
        <v>1019200000000000</v>
      </c>
      <c r="W13" s="50">
        <f>2 * (T32 + 2) * T30 * T31 * T29</f>
        <v>36400000000</v>
      </c>
      <c r="X13" s="36">
        <f t="shared" si="8"/>
        <v>8153600000000000</v>
      </c>
      <c r="Y13" s="36">
        <f t="shared" si="9"/>
        <v>291200000000</v>
      </c>
      <c r="Z13" s="36">
        <f t="shared" si="10"/>
        <v>2038400000000</v>
      </c>
      <c r="AA13" s="36">
        <f t="shared" si="11"/>
        <v>6794666666666.667</v>
      </c>
      <c r="AB13" s="3">
        <f>'Top Level Case Parameters'!H28</f>
        <v>1200</v>
      </c>
      <c r="AC13" s="52">
        <f>16 * (AB30^2) * AB32 * AB31 * AB29</f>
        <v>3.309696E+16</v>
      </c>
      <c r="AD13" s="50">
        <f>4 * (2 + AB32) * (AB30^2) * AB31 * AB29</f>
        <v>1.37904E+16</v>
      </c>
      <c r="AE13" s="50">
        <f>2 * (AB32 + 2) * AB30 * AB31 * AB29</f>
        <v>265200000000</v>
      </c>
      <c r="AF13" s="36">
        <f t="shared" si="12"/>
        <v>1.103232E+17</v>
      </c>
      <c r="AG13" s="36">
        <f t="shared" si="13"/>
        <v>2121600000000</v>
      </c>
      <c r="AH13" s="36">
        <f t="shared" si="14"/>
        <v>27580800000000</v>
      </c>
      <c r="AI13" s="36">
        <f t="shared" si="15"/>
        <v>91936000000000</v>
      </c>
    </row>
    <row r="14" spans="1:35" x14ac:dyDescent="0.55000000000000004">
      <c r="A14" s="8" t="s">
        <v>42</v>
      </c>
      <c r="B14" s="3">
        <f>'Top Level Case Parameters'!I29</f>
        <v>10</v>
      </c>
      <c r="C14" s="52">
        <f>6 * B36 * (B30^2) + 20 * (B30^3)</f>
        <v>60877600000000</v>
      </c>
      <c r="D14" s="50">
        <f>4.5 * B36 * (B30^2) + 15 * (B30^3)</f>
        <v>45658200000000</v>
      </c>
      <c r="E14" s="50">
        <f>B37 * B30</f>
        <v>364000000</v>
      </c>
      <c r="F14" s="36">
        <f t="shared" si="1"/>
        <v>365265600000000</v>
      </c>
      <c r="G14" s="36">
        <f t="shared" si="0"/>
        <v>2912000000</v>
      </c>
      <c r="H14" s="36">
        <f t="shared" si="2"/>
        <v>6087760000000</v>
      </c>
      <c r="I14" s="36">
        <f t="shared" si="3"/>
        <v>36526560000000</v>
      </c>
      <c r="L14" s="3">
        <f>'Top Level Case Parameters'!G29</f>
        <v>100</v>
      </c>
      <c r="M14" s="52">
        <f>6 * L36 * (L30^2) + 20 * (L30^3)</f>
        <v>5881856000000</v>
      </c>
      <c r="N14" s="50">
        <f>4.5 * L36 * (L30^2) + 15 * (L30^3)</f>
        <v>4411392000000</v>
      </c>
      <c r="O14" s="50">
        <f>L37 * L30</f>
        <v>83200000</v>
      </c>
      <c r="P14" s="36">
        <f t="shared" si="4"/>
        <v>35291136000000</v>
      </c>
      <c r="Q14" s="36">
        <f t="shared" si="5"/>
        <v>665600000</v>
      </c>
      <c r="R14" s="36">
        <f t="shared" si="6"/>
        <v>58818560000</v>
      </c>
      <c r="S14" s="36">
        <f t="shared" si="7"/>
        <v>352911360000</v>
      </c>
      <c r="T14" s="3">
        <f>'Top Level Case Parameters'!D29</f>
        <v>10</v>
      </c>
      <c r="U14" s="52">
        <f>6 * T36 * (T30^2) + 20 * (T30^3)</f>
        <v>60877600000000</v>
      </c>
      <c r="V14" s="50">
        <f>4.5 * T36 * (T30^2) + 15 * (T30^3)</f>
        <v>45658200000000</v>
      </c>
      <c r="W14" s="50">
        <f>T37 * T30</f>
        <v>364000000</v>
      </c>
      <c r="X14" s="36">
        <f t="shared" si="8"/>
        <v>365265600000000</v>
      </c>
      <c r="Y14" s="36">
        <f t="shared" si="9"/>
        <v>2912000000</v>
      </c>
      <c r="Z14" s="36">
        <f t="shared" si="10"/>
        <v>6087760000000</v>
      </c>
      <c r="AA14" s="36">
        <f t="shared" si="11"/>
        <v>36526560000000</v>
      </c>
      <c r="AB14" s="3">
        <f>'Top Level Case Parameters'!H29</f>
        <v>1</v>
      </c>
      <c r="AC14" s="52">
        <f>6 * AB36 * (AB30^2) + 20 * (AB30^3)</f>
        <v>392080000000000</v>
      </c>
      <c r="AD14" s="50">
        <f>4.5 * AB36 * (AB30^2) + 15 * (AB30^3)</f>
        <v>294060000000000</v>
      </c>
      <c r="AE14" s="50">
        <f>AB37 * AB30</f>
        <v>1326000000</v>
      </c>
      <c r="AF14" s="36">
        <f t="shared" si="12"/>
        <v>2352480000000000</v>
      </c>
      <c r="AG14" s="36">
        <f t="shared" si="13"/>
        <v>10608000000</v>
      </c>
      <c r="AH14" s="36">
        <f t="shared" si="14"/>
        <v>392080000000000</v>
      </c>
      <c r="AI14" s="36">
        <f t="shared" si="15"/>
        <v>2352480000000000</v>
      </c>
    </row>
    <row r="16" spans="1:35" x14ac:dyDescent="0.55000000000000004">
      <c r="P16" s="140" t="s">
        <v>153</v>
      </c>
      <c r="Q16" s="140"/>
      <c r="R16" s="140"/>
      <c r="S16" s="140"/>
      <c r="X16" s="140" t="s">
        <v>153</v>
      </c>
      <c r="Y16" s="140"/>
      <c r="Z16" s="140"/>
      <c r="AA16" s="140"/>
      <c r="AF16" s="140" t="s">
        <v>153</v>
      </c>
      <c r="AG16" s="140"/>
      <c r="AH16" s="140"/>
      <c r="AI16" s="140"/>
    </row>
    <row r="17" spans="1:35" x14ac:dyDescent="0.55000000000000004">
      <c r="P17" t="s">
        <v>143</v>
      </c>
      <c r="Q17" s="36">
        <f>MAX(Q4:Q6)/1000000000</f>
        <v>6.6559999999999997</v>
      </c>
      <c r="R17" s="36">
        <f t="shared" ref="R17:S17" si="16">MAX(R4:R6)/1000000000</f>
        <v>4.4373333333333331</v>
      </c>
      <c r="S17" s="36">
        <f t="shared" si="16"/>
        <v>35.498666666666665</v>
      </c>
      <c r="X17" t="s">
        <v>143</v>
      </c>
      <c r="Y17" s="36">
        <f>MAX(Y4:Y6)/1000000000</f>
        <v>58.24</v>
      </c>
      <c r="Z17" s="36">
        <f t="shared" ref="Z17:AA17" si="17">MAX(Z4:Z6)/1000000000</f>
        <v>84.933333333333323</v>
      </c>
      <c r="AA17" s="36">
        <f t="shared" si="17"/>
        <v>679.46666666666658</v>
      </c>
      <c r="AF17" t="s">
        <v>143</v>
      </c>
      <c r="AG17" s="36">
        <f>MAX(AG4:AG6)/1000000000</f>
        <v>424.32</v>
      </c>
      <c r="AH17" s="36">
        <f t="shared" ref="AH17:AI17" si="18">MAX(AH4:AH6)/1000000000</f>
        <v>1149.2</v>
      </c>
      <c r="AI17" s="36">
        <f t="shared" si="18"/>
        <v>9193.6</v>
      </c>
    </row>
    <row r="18" spans="1:35" x14ac:dyDescent="0.55000000000000004">
      <c r="P18" t="s">
        <v>144</v>
      </c>
      <c r="Q18" s="36">
        <f>Q3/1000000000</f>
        <v>0.13421772800000001</v>
      </c>
      <c r="R18" s="36">
        <f t="shared" ref="R18:S18" si="19">R3/1000000000</f>
        <v>164.64041301333333</v>
      </c>
      <c r="S18" s="36">
        <f t="shared" si="19"/>
        <v>22.145925120000001</v>
      </c>
      <c r="X18" t="s">
        <v>144</v>
      </c>
      <c r="Y18" s="36">
        <f>Y3/1000000000</f>
        <v>0.53687091200000003</v>
      </c>
      <c r="Z18" s="36">
        <f t="shared" ref="Z18:AA18" si="20">Z3/1000000000</f>
        <v>4509.7156607999996</v>
      </c>
      <c r="AA18" s="36">
        <f t="shared" si="20"/>
        <v>387.55368959999998</v>
      </c>
      <c r="AF18" t="s">
        <v>144</v>
      </c>
      <c r="AG18" s="36">
        <f>AG3/1000000000</f>
        <v>2.1474836480000001</v>
      </c>
      <c r="AH18" s="36">
        <f t="shared" ref="AH18:AI18" si="21">AH3/1000000000</f>
        <v>113530.30219093333</v>
      </c>
      <c r="AI18" s="36">
        <f t="shared" si="21"/>
        <v>5757.9405311999999</v>
      </c>
    </row>
    <row r="19" spans="1:35" x14ac:dyDescent="0.55000000000000004">
      <c r="A19" s="130" t="s">
        <v>107</v>
      </c>
      <c r="B19" s="130"/>
      <c r="C19" s="130"/>
      <c r="D19" s="130"/>
      <c r="P19" t="s">
        <v>145</v>
      </c>
      <c r="Q19" s="36">
        <f>Q7/1000000000</f>
        <v>3.1199999999999999E-3</v>
      </c>
      <c r="R19" s="36">
        <f t="shared" ref="R19:S19" si="22">R7/1000000000</f>
        <v>7.7999999999999999E-6</v>
      </c>
      <c r="S19" s="36">
        <f t="shared" si="22"/>
        <v>3.1199999999999999E-5</v>
      </c>
      <c r="X19" t="s">
        <v>145</v>
      </c>
      <c r="Y19" s="36">
        <f>Y7/1000000000</f>
        <v>1.248E-2</v>
      </c>
      <c r="Z19" s="36">
        <f t="shared" ref="Z19:AA19" si="23">Z7/1000000000</f>
        <v>3.1199999999999999E-4</v>
      </c>
      <c r="AA19" s="36">
        <f t="shared" si="23"/>
        <v>1.248E-3</v>
      </c>
      <c r="AF19" t="s">
        <v>145</v>
      </c>
      <c r="AG19" s="36">
        <f>AG7/1000000000</f>
        <v>4.8959999999999997E-2</v>
      </c>
      <c r="AH19" s="36">
        <f t="shared" ref="AH19:AI19" si="24">AH7/1000000000</f>
        <v>1.2239999999999999E-2</v>
      </c>
      <c r="AI19" s="36">
        <f t="shared" si="24"/>
        <v>4.8959999999999997E-2</v>
      </c>
    </row>
    <row r="20" spans="1:35" x14ac:dyDescent="0.55000000000000004">
      <c r="A20" s="17" t="s">
        <v>109</v>
      </c>
      <c r="B20" s="17" t="s">
        <v>110</v>
      </c>
      <c r="C20" s="17" t="s">
        <v>111</v>
      </c>
      <c r="P20" t="s">
        <v>146</v>
      </c>
      <c r="Q20" s="36">
        <f t="shared" ref="Q20:S20" si="25">Q8/1000000000</f>
        <v>6.6559999999999997</v>
      </c>
      <c r="R20" s="36">
        <f t="shared" si="25"/>
        <v>26.623999999999999</v>
      </c>
      <c r="S20" s="36">
        <f t="shared" si="25"/>
        <v>212.99199999999999</v>
      </c>
      <c r="X20" t="s">
        <v>146</v>
      </c>
      <c r="Y20" s="36">
        <f t="shared" ref="Y20:AA20" si="26">Y8/1000000000</f>
        <v>58.24</v>
      </c>
      <c r="Z20" s="36">
        <f t="shared" si="26"/>
        <v>5096</v>
      </c>
      <c r="AA20" s="36">
        <f t="shared" si="26"/>
        <v>40768</v>
      </c>
      <c r="AF20" t="s">
        <v>146</v>
      </c>
      <c r="AG20" s="36">
        <f t="shared" ref="AG20:AI20" si="27">AG8/1000000000</f>
        <v>424.32</v>
      </c>
      <c r="AH20" s="36">
        <f t="shared" si="27"/>
        <v>689520</v>
      </c>
      <c r="AI20" s="36">
        <f t="shared" si="27"/>
        <v>5516160</v>
      </c>
    </row>
    <row r="21" spans="1:35" x14ac:dyDescent="0.55000000000000004">
      <c r="A21" t="s">
        <v>108</v>
      </c>
      <c r="B21">
        <v>8</v>
      </c>
      <c r="C21" t="s">
        <v>112</v>
      </c>
      <c r="P21" t="s">
        <v>147</v>
      </c>
      <c r="Q21" s="36">
        <f t="shared" ref="Q21:S21" si="28">Q9/1000000000</f>
        <v>0.63753420800000005</v>
      </c>
      <c r="R21" s="36">
        <f t="shared" si="28"/>
        <v>3.0870077440000001</v>
      </c>
      <c r="S21" s="36">
        <f t="shared" si="28"/>
        <v>13.287555072</v>
      </c>
      <c r="X21" t="s">
        <v>147</v>
      </c>
      <c r="Y21" s="36">
        <f t="shared" ref="Y21:AA21" si="29">Y9/1000000000</f>
        <v>4.563402752</v>
      </c>
      <c r="Z21" s="36">
        <f t="shared" si="29"/>
        <v>386.54705663999999</v>
      </c>
      <c r="AA21" s="36">
        <f t="shared" si="29"/>
        <v>2093.7965568</v>
      </c>
      <c r="AF21" t="s">
        <v>147</v>
      </c>
      <c r="AG21" s="36">
        <f t="shared" ref="AG21:AI21" si="30">AG9/1000000000</f>
        <v>34.359738368000002</v>
      </c>
      <c r="AH21" s="36">
        <f t="shared" si="30"/>
        <v>52398.6010112</v>
      </c>
      <c r="AI21" s="36">
        <f t="shared" si="30"/>
        <v>332430.46871039999</v>
      </c>
    </row>
    <row r="22" spans="1:35" x14ac:dyDescent="0.55000000000000004">
      <c r="P22" t="s">
        <v>148</v>
      </c>
      <c r="Q22" s="36">
        <f t="shared" ref="Q22:S22" si="31">Q10/1000000000</f>
        <v>1.3311999999999999</v>
      </c>
      <c r="R22" s="36">
        <f t="shared" si="31"/>
        <v>19.387733333333337</v>
      </c>
      <c r="S22" s="36">
        <f t="shared" si="31"/>
        <v>120.14933333333335</v>
      </c>
      <c r="X22" t="s">
        <v>148</v>
      </c>
      <c r="Y22" s="36">
        <f t="shared" ref="Y22:AA22" si="32">Y10/1000000000</f>
        <v>5.8239999999999998</v>
      </c>
      <c r="Z22" s="36">
        <f t="shared" si="32"/>
        <v>1933.8666666666668</v>
      </c>
      <c r="AA22" s="36">
        <f t="shared" si="32"/>
        <v>11812.266666666668</v>
      </c>
      <c r="AF22" t="s">
        <v>148</v>
      </c>
      <c r="AG22" s="36">
        <f t="shared" ref="AG22:AI22" si="33">AG10/1000000000</f>
        <v>21.216000000000001</v>
      </c>
      <c r="AH22" s="36">
        <f t="shared" si="33"/>
        <v>127538.66666666667</v>
      </c>
      <c r="AI22" s="36">
        <f t="shared" si="33"/>
        <v>785962.66666666674</v>
      </c>
    </row>
    <row r="23" spans="1:35" x14ac:dyDescent="0.55000000000000004">
      <c r="P23" t="s">
        <v>149</v>
      </c>
      <c r="Q23" s="36">
        <f t="shared" ref="Q23:S23" si="34">Q11/1000000000</f>
        <v>6.6559999999999997</v>
      </c>
      <c r="R23" s="36">
        <f t="shared" si="34"/>
        <v>8.3199999999999993E-3</v>
      </c>
      <c r="S23" s="36">
        <f t="shared" si="34"/>
        <v>6.6559999999999994E-2</v>
      </c>
      <c r="X23" t="s">
        <v>149</v>
      </c>
      <c r="Y23" s="36">
        <f t="shared" ref="Y23:AA23" si="35">Y11/1000000000</f>
        <v>58.24</v>
      </c>
      <c r="Z23" s="36">
        <f t="shared" si="35"/>
        <v>0.72799999999999998</v>
      </c>
      <c r="AA23" s="36">
        <f t="shared" si="35"/>
        <v>5.8239999999999998</v>
      </c>
      <c r="AF23" t="s">
        <v>149</v>
      </c>
      <c r="AG23" s="36">
        <f t="shared" ref="AG23:AI23" si="36">AG11/1000000000</f>
        <v>424.32</v>
      </c>
      <c r="AH23" s="36">
        <f t="shared" si="36"/>
        <v>53.04</v>
      </c>
      <c r="AI23" s="36">
        <f t="shared" si="36"/>
        <v>424.32</v>
      </c>
    </row>
    <row r="24" spans="1:35" x14ac:dyDescent="0.55000000000000004">
      <c r="P24" t="s">
        <v>150</v>
      </c>
      <c r="Q24" s="36">
        <f t="shared" ref="Q24:S24" si="37">Q12/1000000000</f>
        <v>1.0399999999999999E-3</v>
      </c>
      <c r="R24" s="36">
        <f t="shared" si="37"/>
        <v>2.1319309444372956E-4</v>
      </c>
      <c r="S24" s="36">
        <f t="shared" si="37"/>
        <v>3.1199999999999999E-5</v>
      </c>
      <c r="X24" t="s">
        <v>150</v>
      </c>
      <c r="Y24" s="36">
        <f t="shared" ref="Y24:AA24" si="38">Y12/1000000000</f>
        <v>4.1599999999999996E-3</v>
      </c>
      <c r="Z24" s="36">
        <f t="shared" si="38"/>
        <v>9.151723777749185E-3</v>
      </c>
      <c r="AA24" s="36">
        <f t="shared" si="38"/>
        <v>1.248E-3</v>
      </c>
      <c r="AF24" t="s">
        <v>150</v>
      </c>
      <c r="AG24" s="36">
        <f t="shared" ref="AG24:AI24" si="39">AG12/1000000000</f>
        <v>1.6320000000000001E-2</v>
      </c>
      <c r="AH24" s="36">
        <f t="shared" si="39"/>
        <v>0.38282337165999014</v>
      </c>
      <c r="AI24" s="36">
        <f t="shared" si="39"/>
        <v>4.8959999999999997E-2</v>
      </c>
    </row>
    <row r="25" spans="1:35" x14ac:dyDescent="0.55000000000000004">
      <c r="P25" t="s">
        <v>151</v>
      </c>
      <c r="Q25" s="36">
        <f t="shared" ref="Q25:S25" si="40">Q13/1000000000</f>
        <v>33.28</v>
      </c>
      <c r="R25" s="36">
        <f t="shared" si="40"/>
        <v>106.496</v>
      </c>
      <c r="S25" s="36">
        <f t="shared" si="40"/>
        <v>354.98666666666668</v>
      </c>
      <c r="X25" t="s">
        <v>151</v>
      </c>
      <c r="Y25" s="36">
        <f t="shared" ref="Y25:AA25" si="41">Y13/1000000000</f>
        <v>291.2</v>
      </c>
      <c r="Z25" s="36">
        <f t="shared" si="41"/>
        <v>2038.4</v>
      </c>
      <c r="AA25" s="36">
        <f t="shared" si="41"/>
        <v>6794.666666666667</v>
      </c>
      <c r="AF25" t="s">
        <v>151</v>
      </c>
      <c r="AG25" s="36">
        <f t="shared" ref="AG25:AI25" si="42">AG13/1000000000</f>
        <v>2121.6</v>
      </c>
      <c r="AH25" s="36">
        <f t="shared" si="42"/>
        <v>27580.799999999999</v>
      </c>
      <c r="AI25" s="36">
        <f t="shared" si="42"/>
        <v>91936</v>
      </c>
    </row>
    <row r="26" spans="1:35" x14ac:dyDescent="0.55000000000000004">
      <c r="P26" s="8" t="s">
        <v>152</v>
      </c>
      <c r="Q26" s="36">
        <f t="shared" ref="Q26:S26" si="43">Q14/1000000000</f>
        <v>0.66559999999999997</v>
      </c>
      <c r="R26" s="36">
        <f t="shared" si="43"/>
        <v>58.818559999999998</v>
      </c>
      <c r="S26" s="36">
        <f t="shared" si="43"/>
        <v>352.91136</v>
      </c>
      <c r="X26" s="8" t="s">
        <v>152</v>
      </c>
      <c r="Y26" s="36">
        <f t="shared" ref="Y26:AA26" si="44">Y14/1000000000</f>
        <v>2.9119999999999999</v>
      </c>
      <c r="Z26" s="36">
        <f t="shared" si="44"/>
        <v>6087.76</v>
      </c>
      <c r="AA26" s="36">
        <f t="shared" si="44"/>
        <v>36526.559999999998</v>
      </c>
      <c r="AF26" s="8" t="s">
        <v>152</v>
      </c>
      <c r="AG26" s="36">
        <f t="shared" ref="AG26:AI26" si="45">AG14/1000000000</f>
        <v>10.608000000000001</v>
      </c>
      <c r="AH26" s="36">
        <f t="shared" si="45"/>
        <v>392080</v>
      </c>
      <c r="AI26" s="36">
        <f t="shared" si="45"/>
        <v>2352480</v>
      </c>
    </row>
    <row r="27" spans="1:35" x14ac:dyDescent="0.55000000000000004">
      <c r="A27" s="141" t="s">
        <v>113</v>
      </c>
      <c r="B27" s="141"/>
      <c r="C27" s="141"/>
      <c r="D27" s="141"/>
    </row>
    <row r="28" spans="1:35" x14ac:dyDescent="0.55000000000000004">
      <c r="A28" t="s">
        <v>1</v>
      </c>
      <c r="B28" t="s">
        <v>142</v>
      </c>
      <c r="D28" t="s">
        <v>27</v>
      </c>
      <c r="L28" t="s">
        <v>26</v>
      </c>
      <c r="T28" t="str">
        <f>'Top Level Case Parameters'!D3</f>
        <v>Mid</v>
      </c>
      <c r="AB28" t="str">
        <f>'Top Level Case Parameters'!H3</f>
        <v>LUVOIR</v>
      </c>
    </row>
    <row r="29" spans="1:35" x14ac:dyDescent="0.55000000000000004">
      <c r="A29" s="5" t="s">
        <v>6</v>
      </c>
      <c r="B29">
        <f>'Top Level Case Parameters'!I4</f>
        <v>26000</v>
      </c>
      <c r="D29">
        <f>'Top Level Case Parameters'!H4</f>
        <v>51000</v>
      </c>
      <c r="L29">
        <f>'Top Level Case Parameters'!G4</f>
        <v>13000</v>
      </c>
      <c r="T29">
        <f>'Top Level Case Parameters'!D4</f>
        <v>26000</v>
      </c>
      <c r="AB29">
        <f>'Top Level Case Parameters'!H4</f>
        <v>51000</v>
      </c>
    </row>
    <row r="30" spans="1:35" x14ac:dyDescent="0.55000000000000004">
      <c r="A30" s="3" t="s">
        <v>8</v>
      </c>
      <c r="B30">
        <f>'Top Level Case Parameters'!I5</f>
        <v>14000</v>
      </c>
      <c r="D30">
        <f>'Top Level Case Parameters'!H5</f>
        <v>26000</v>
      </c>
      <c r="L30">
        <f>'Top Level Case Parameters'!G5</f>
        <v>6400</v>
      </c>
      <c r="T30">
        <f>'Top Level Case Parameters'!D5</f>
        <v>14000</v>
      </c>
      <c r="AB30">
        <f>'Top Level Case Parameters'!H5</f>
        <v>26000</v>
      </c>
    </row>
    <row r="31" spans="1:35" x14ac:dyDescent="0.55000000000000004">
      <c r="A31" s="3" t="s">
        <v>10</v>
      </c>
      <c r="B31">
        <f>'Top Level Case Parameters'!I6</f>
        <v>10</v>
      </c>
      <c r="D31">
        <f>'Top Level Case Parameters'!H6</f>
        <v>20</v>
      </c>
      <c r="L31">
        <f>'Top Level Case Parameters'!G6</f>
        <v>5</v>
      </c>
      <c r="T31">
        <f>'Top Level Case Parameters'!D6</f>
        <v>10</v>
      </c>
      <c r="AB31">
        <f>'Top Level Case Parameters'!H6</f>
        <v>20</v>
      </c>
    </row>
    <row r="32" spans="1:35" x14ac:dyDescent="0.55000000000000004">
      <c r="A32" s="3" t="s">
        <v>12</v>
      </c>
      <c r="B32">
        <f>'Top Level Case Parameters'!I7</f>
        <v>3</v>
      </c>
      <c r="D32">
        <f>'Top Level Case Parameters'!H7</f>
        <v>3</v>
      </c>
      <c r="L32">
        <f>'Top Level Case Parameters'!G7</f>
        <v>3</v>
      </c>
      <c r="T32">
        <f>'Top Level Case Parameters'!D7</f>
        <v>3</v>
      </c>
      <c r="AB32">
        <f>'Top Level Case Parameters'!H7</f>
        <v>3</v>
      </c>
    </row>
    <row r="33" spans="1:28" x14ac:dyDescent="0.55000000000000004">
      <c r="A33" s="3" t="s">
        <v>14</v>
      </c>
      <c r="B33">
        <f>'Top Level Case Parameters'!I8</f>
        <v>2048</v>
      </c>
      <c r="D33">
        <f>'Top Level Case Parameters'!H8</f>
        <v>4096</v>
      </c>
      <c r="L33">
        <f>'Top Level Case Parameters'!G8</f>
        <v>1024</v>
      </c>
      <c r="T33">
        <f>'Top Level Case Parameters'!D8</f>
        <v>2048</v>
      </c>
      <c r="AB33">
        <f>'Top Level Case Parameters'!H8</f>
        <v>4096</v>
      </c>
    </row>
    <row r="34" spans="1:28" x14ac:dyDescent="0.55000000000000004">
      <c r="A34" s="3" t="s">
        <v>16</v>
      </c>
      <c r="B34">
        <f>'Top Level Case Parameters'!I9</f>
        <v>10</v>
      </c>
      <c r="D34">
        <f>'Top Level Case Parameters'!H9</f>
        <v>10</v>
      </c>
      <c r="L34">
        <f>'Top Level Case Parameters'!G9</f>
        <v>10</v>
      </c>
      <c r="T34">
        <f>'Top Level Case Parameters'!D9</f>
        <v>10</v>
      </c>
      <c r="AB34">
        <f>'Top Level Case Parameters'!H9</f>
        <v>10</v>
      </c>
    </row>
    <row r="35" spans="1:28" x14ac:dyDescent="0.55000000000000004">
      <c r="A35" s="3" t="s">
        <v>18</v>
      </c>
      <c r="B35">
        <f>'Top Level Case Parameters'!I10</f>
        <v>10</v>
      </c>
      <c r="D35">
        <f>'Top Level Case Parameters'!H10</f>
        <v>10</v>
      </c>
      <c r="L35">
        <f>'Top Level Case Parameters'!G10</f>
        <v>10</v>
      </c>
      <c r="T35">
        <f>'Top Level Case Parameters'!D10</f>
        <v>10</v>
      </c>
      <c r="AB35">
        <f>'Top Level Case Parameters'!H10</f>
        <v>10</v>
      </c>
    </row>
    <row r="36" spans="1:28" x14ac:dyDescent="0.55000000000000004">
      <c r="A36" s="3" t="s">
        <v>20</v>
      </c>
      <c r="B36">
        <f>'Top Level Case Parameters'!I11</f>
        <v>5100</v>
      </c>
      <c r="D36">
        <f>'Top Level Case Parameters'!H11</f>
        <v>10000</v>
      </c>
      <c r="L36">
        <f>'Top Level Case Parameters'!G11</f>
        <v>2600</v>
      </c>
      <c r="T36">
        <f>'Top Level Case Parameters'!D11</f>
        <v>5100</v>
      </c>
      <c r="AB36">
        <f>'Top Level Case Parameters'!H11</f>
        <v>10000</v>
      </c>
    </row>
    <row r="37" spans="1:28" x14ac:dyDescent="0.55000000000000004">
      <c r="A37" s="8" t="s">
        <v>22</v>
      </c>
      <c r="B37">
        <f>'Top Level Case Parameters'!I12</f>
        <v>26000</v>
      </c>
      <c r="D37">
        <f>'Top Level Case Parameters'!H12</f>
        <v>51000</v>
      </c>
      <c r="L37">
        <f>'Top Level Case Parameters'!G12</f>
        <v>13000</v>
      </c>
      <c r="T37">
        <f>'Top Level Case Parameters'!D12</f>
        <v>26000</v>
      </c>
      <c r="AB37">
        <f>'Top Level Case Parameters'!H12</f>
        <v>51000</v>
      </c>
    </row>
    <row r="40" spans="1:28" x14ac:dyDescent="0.55000000000000004">
      <c r="A40" s="135"/>
      <c r="B40" s="135"/>
      <c r="C40" s="135"/>
      <c r="D40" s="135"/>
      <c r="E40" s="135"/>
      <c r="F40" s="135"/>
      <c r="G40" s="135"/>
      <c r="H40" s="135"/>
      <c r="I40" s="135"/>
      <c r="J40" s="135"/>
      <c r="K40" s="135"/>
    </row>
    <row r="41" spans="1:28" x14ac:dyDescent="0.55000000000000004">
      <c r="A41" s="102"/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1:28" x14ac:dyDescent="0.55000000000000004">
      <c r="A42" s="103" t="s">
        <v>183</v>
      </c>
      <c r="B42" s="14" t="s">
        <v>184</v>
      </c>
      <c r="C42" s="14" t="s">
        <v>120</v>
      </c>
      <c r="D42" s="14" t="s">
        <v>121</v>
      </c>
      <c r="E42" s="14"/>
      <c r="F42" s="14"/>
      <c r="G42" s="14"/>
      <c r="H42" s="14"/>
      <c r="I42" s="14"/>
      <c r="J42" s="14"/>
      <c r="K42" s="14"/>
    </row>
    <row r="43" spans="1:28" x14ac:dyDescent="0.55000000000000004">
      <c r="A43" s="11" t="s">
        <v>26</v>
      </c>
      <c r="B43" s="99">
        <f>GEOMEAN(Q3:Q14)</f>
        <v>830043114.42231369</v>
      </c>
      <c r="C43" s="99">
        <f t="shared" ref="C43:D43" si="46">GEOMEAN(R3:R14)</f>
        <v>500059102.71365827</v>
      </c>
      <c r="D43" s="99">
        <f t="shared" si="46"/>
        <v>1585531276.1213212</v>
      </c>
      <c r="E43" s="14"/>
      <c r="F43" s="14"/>
      <c r="G43" s="14"/>
      <c r="H43" s="14"/>
      <c r="I43" s="14"/>
      <c r="J43" s="14"/>
      <c r="K43" s="14"/>
    </row>
    <row r="44" spans="1:28" x14ac:dyDescent="0.55000000000000004">
      <c r="A44" s="11" t="s">
        <v>141</v>
      </c>
      <c r="B44" s="99">
        <f>GEOMEAN(Y3:Y14)</f>
        <v>5232165354.9437523</v>
      </c>
      <c r="C44" s="99">
        <f t="shared" ref="C44:D44" si="47">GEOMEAN(Z3:Z14)</f>
        <v>25713303120.085026</v>
      </c>
      <c r="D44" s="99">
        <f t="shared" si="47"/>
        <v>79494253768.815353</v>
      </c>
      <c r="E44" s="14"/>
      <c r="F44" s="14"/>
      <c r="G44" s="14"/>
      <c r="H44" s="14"/>
      <c r="I44" s="14"/>
      <c r="J44" s="14"/>
      <c r="K44" s="14"/>
    </row>
    <row r="45" spans="1:28" x14ac:dyDescent="0.55000000000000004">
      <c r="A45" s="11" t="s">
        <v>27</v>
      </c>
      <c r="B45" s="99">
        <f>GEOMEAN(AG3:AG14)</f>
        <v>29218916645.226986</v>
      </c>
      <c r="C45" s="99">
        <f t="shared" ref="C45:D45" si="48">GEOMEAN(AH3:AH14)</f>
        <v>1043850935809.9159</v>
      </c>
      <c r="D45" s="99">
        <f t="shared" si="48"/>
        <v>3114943763929.498</v>
      </c>
      <c r="E45" s="14"/>
      <c r="F45" s="14"/>
      <c r="G45" s="14"/>
      <c r="H45" s="14"/>
      <c r="I45" s="14"/>
      <c r="J45" s="14"/>
      <c r="K45" s="14"/>
    </row>
    <row r="46" spans="1:28" x14ac:dyDescent="0.55000000000000004">
      <c r="A46" s="11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28" x14ac:dyDescent="0.55000000000000004">
      <c r="A47" s="11"/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spans="1:28" x14ac:dyDescent="0.55000000000000004">
      <c r="A48" s="11"/>
      <c r="B48" s="14"/>
      <c r="C48" s="14"/>
      <c r="D48" s="14"/>
      <c r="E48" s="14"/>
      <c r="F48" s="14"/>
      <c r="G48" s="14"/>
      <c r="H48" s="14"/>
      <c r="I48" s="14"/>
      <c r="J48" s="14"/>
      <c r="K48" s="14"/>
    </row>
    <row r="49" spans="1:11" x14ac:dyDescent="0.55000000000000004">
      <c r="A49" s="11"/>
      <c r="B49" s="14"/>
      <c r="C49" s="14"/>
      <c r="D49" s="14"/>
      <c r="E49" s="14"/>
      <c r="F49" s="14"/>
      <c r="G49" s="14"/>
      <c r="H49" s="14"/>
      <c r="I49" s="14"/>
      <c r="J49" s="14"/>
      <c r="K49" s="14"/>
    </row>
    <row r="50" spans="1:11" x14ac:dyDescent="0.55000000000000004">
      <c r="A50" s="11"/>
      <c r="B50" s="14"/>
      <c r="C50" s="14"/>
      <c r="D50" s="14"/>
      <c r="E50" s="14"/>
      <c r="F50" s="14"/>
      <c r="G50" s="14"/>
      <c r="H50" s="14"/>
      <c r="I50" s="14"/>
      <c r="J50" s="14"/>
      <c r="K50" s="14"/>
    </row>
    <row r="51" spans="1:11" x14ac:dyDescent="0.55000000000000004">
      <c r="A51" s="11"/>
      <c r="B51" s="14"/>
      <c r="C51" s="14"/>
      <c r="D51" s="14"/>
      <c r="E51" s="14"/>
      <c r="F51" s="14"/>
      <c r="G51" s="14"/>
      <c r="H51" s="14"/>
      <c r="I51" s="14"/>
      <c r="J51" s="14"/>
      <c r="K51" s="14"/>
    </row>
    <row r="52" spans="1:11" x14ac:dyDescent="0.55000000000000004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</row>
    <row r="53" spans="1:11" x14ac:dyDescent="0.55000000000000004">
      <c r="A53" s="104"/>
      <c r="B53" s="14"/>
      <c r="C53" s="14"/>
      <c r="D53" s="14"/>
      <c r="E53" s="14"/>
      <c r="F53" s="14"/>
      <c r="G53" s="14"/>
      <c r="H53" s="14"/>
      <c r="I53" s="14"/>
      <c r="J53" s="14"/>
      <c r="K53" s="14"/>
    </row>
    <row r="54" spans="1:11" x14ac:dyDescent="0.55000000000000004">
      <c r="A54" s="14"/>
      <c r="B54" s="14"/>
      <c r="C54" s="11"/>
      <c r="D54" s="56"/>
      <c r="E54" s="56"/>
      <c r="F54" s="56"/>
      <c r="G54" s="14"/>
      <c r="H54" s="14"/>
      <c r="I54" s="14"/>
      <c r="J54" s="14"/>
      <c r="K54" s="14"/>
    </row>
    <row r="55" spans="1:11" x14ac:dyDescent="0.55000000000000004">
      <c r="C55" s="11"/>
      <c r="D55" s="56"/>
      <c r="E55" s="56"/>
      <c r="F55" s="56"/>
    </row>
    <row r="56" spans="1:11" x14ac:dyDescent="0.55000000000000004">
      <c r="C56" s="11"/>
      <c r="D56" s="56"/>
      <c r="E56" s="56"/>
      <c r="F56" s="56"/>
    </row>
    <row r="57" spans="1:11" x14ac:dyDescent="0.55000000000000004">
      <c r="C57" s="11"/>
      <c r="D57" s="56"/>
      <c r="E57" s="56"/>
      <c r="F57" s="56"/>
    </row>
    <row r="58" spans="1:11" x14ac:dyDescent="0.55000000000000004">
      <c r="C58" s="11"/>
      <c r="D58" s="56"/>
      <c r="E58" s="56"/>
      <c r="F58" s="56"/>
    </row>
    <row r="59" spans="1:11" x14ac:dyDescent="0.55000000000000004">
      <c r="C59" s="11"/>
      <c r="D59" s="56"/>
      <c r="E59" s="56"/>
      <c r="F59" s="56"/>
    </row>
    <row r="60" spans="1:11" x14ac:dyDescent="0.55000000000000004">
      <c r="C60" s="11"/>
      <c r="D60" s="56"/>
      <c r="E60" s="56"/>
      <c r="F60" s="56"/>
    </row>
    <row r="61" spans="1:11" x14ac:dyDescent="0.55000000000000004">
      <c r="C61" s="11"/>
      <c r="D61" s="56"/>
      <c r="E61" s="56"/>
      <c r="F61" s="56"/>
    </row>
    <row r="62" spans="1:11" x14ac:dyDescent="0.55000000000000004">
      <c r="C62" s="11"/>
      <c r="D62" s="56"/>
      <c r="E62" s="56"/>
      <c r="F62" s="56"/>
    </row>
  </sheetData>
  <mergeCells count="10">
    <mergeCell ref="A40:K40"/>
    <mergeCell ref="L1:S1"/>
    <mergeCell ref="P16:S16"/>
    <mergeCell ref="X16:AA16"/>
    <mergeCell ref="AF16:AI16"/>
    <mergeCell ref="T1:AA1"/>
    <mergeCell ref="AB1:AI1"/>
    <mergeCell ref="A19:D19"/>
    <mergeCell ref="A27:D27"/>
    <mergeCell ref="A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355FF-9680-4184-BE44-C4B1052AB8B5}">
  <dimension ref="A1:AU145"/>
  <sheetViews>
    <sheetView zoomScaleNormal="100" workbookViewId="0">
      <pane xSplit="1" ySplit="2" topLeftCell="B11" activePane="bottomRight" state="frozen"/>
      <selection activeCell="C5" sqref="C5"/>
      <selection pane="topRight" activeCell="C5" sqref="C5"/>
      <selection pane="bottomLeft" activeCell="C5" sqref="C5"/>
      <selection pane="bottomRight" activeCell="C5" sqref="C5"/>
    </sheetView>
  </sheetViews>
  <sheetFormatPr defaultRowHeight="14.4" x14ac:dyDescent="0.55000000000000004"/>
  <cols>
    <col min="1" max="1" width="40.05078125" bestFit="1" customWidth="1"/>
    <col min="2" max="2" width="21.1015625" customWidth="1"/>
    <col min="3" max="23" width="8.1015625" customWidth="1"/>
    <col min="26" max="26" width="15.26171875" bestFit="1" customWidth="1"/>
  </cols>
  <sheetData>
    <row r="1" spans="1:33" x14ac:dyDescent="0.55000000000000004">
      <c r="A1" s="142" t="s">
        <v>105</v>
      </c>
      <c r="B1" s="142"/>
      <c r="C1" s="142"/>
      <c r="D1" s="142"/>
      <c r="E1" s="142"/>
      <c r="F1" s="142"/>
      <c r="G1" s="142"/>
      <c r="H1" s="142"/>
      <c r="I1" s="142"/>
      <c r="J1" s="142"/>
      <c r="L1" s="139" t="s">
        <v>24</v>
      </c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</row>
    <row r="2" spans="1:33" x14ac:dyDescent="0.55000000000000004">
      <c r="A2" s="49" t="s">
        <v>106</v>
      </c>
      <c r="B2" t="s">
        <v>116</v>
      </c>
      <c r="C2" s="18" t="s">
        <v>114</v>
      </c>
      <c r="D2" s="18" t="s">
        <v>115</v>
      </c>
      <c r="E2" s="18" t="s">
        <v>189</v>
      </c>
      <c r="F2" s="18" t="s">
        <v>128</v>
      </c>
      <c r="G2" s="18" t="s">
        <v>129</v>
      </c>
      <c r="H2" s="17" t="s">
        <v>130</v>
      </c>
      <c r="L2" t="s">
        <v>116</v>
      </c>
      <c r="M2" s="18" t="s">
        <v>114</v>
      </c>
      <c r="N2" s="18" t="s">
        <v>115</v>
      </c>
      <c r="O2" s="18" t="s">
        <v>117</v>
      </c>
      <c r="P2" s="18"/>
      <c r="Q2" s="18"/>
      <c r="R2" s="17"/>
      <c r="T2" t="s">
        <v>116</v>
      </c>
      <c r="U2" s="18" t="s">
        <v>114</v>
      </c>
      <c r="V2" s="18" t="s">
        <v>115</v>
      </c>
      <c r="W2" s="18" t="s">
        <v>117</v>
      </c>
      <c r="X2" s="18"/>
      <c r="Y2" s="18"/>
      <c r="Z2" s="17"/>
      <c r="AB2" t="s">
        <v>116</v>
      </c>
      <c r="AC2" s="18" t="s">
        <v>114</v>
      </c>
      <c r="AD2" s="18" t="s">
        <v>115</v>
      </c>
      <c r="AE2" s="18" t="s">
        <v>117</v>
      </c>
      <c r="AF2" s="18"/>
      <c r="AG2" s="18"/>
    </row>
    <row r="3" spans="1:33" x14ac:dyDescent="0.55000000000000004">
      <c r="A3" s="5" t="s">
        <v>31</v>
      </c>
      <c r="B3" s="52">
        <f>3*B35*B34*B37^3 + 256*B35*B34*B37^2*LOG(2*B37,2)</f>
        <v>5411658792960000</v>
      </c>
      <c r="C3" s="50">
        <f>(3*B35*B34*B37^2 + 96*B35*B34*B37^2)</f>
        <v>58133053440000</v>
      </c>
      <c r="D3" s="50">
        <f>16*B37^2</f>
        <v>67108864</v>
      </c>
      <c r="E3" s="36">
        <f>C3*$B$24</f>
        <v>465064427520000</v>
      </c>
      <c r="F3" s="36">
        <f>B3/$B$42</f>
        <v>93952.409599999999</v>
      </c>
      <c r="G3" s="36">
        <f>E3/B$43</f>
        <v>13841.2032</v>
      </c>
      <c r="H3" s="36">
        <f>MAX(F3:G3)</f>
        <v>93952.409599999999</v>
      </c>
      <c r="L3" s="52">
        <f>3*L35*L34*L37^3 + 256*L35*L34*L37^2*LOG(2*L37,2)</f>
        <v>197568495616000</v>
      </c>
      <c r="M3" s="50">
        <f>(3*L35*L34*L37^2 + 96*L35*L34*L37^2)</f>
        <v>3321888768000</v>
      </c>
      <c r="N3" s="50">
        <f>16*L37^2</f>
        <v>16777216</v>
      </c>
      <c r="O3" s="36">
        <f>M3*$B$24</f>
        <v>26575110144000</v>
      </c>
      <c r="P3" s="36"/>
      <c r="Q3" s="36"/>
      <c r="R3" s="36"/>
      <c r="T3" s="52">
        <f>3*T35*T34*T37^3 + 256*T35*T34*T37^2*LOG(2*T37,2)</f>
        <v>1.3623636262912E+17</v>
      </c>
      <c r="U3" s="50">
        <f>(3*T35*T34*T37^2 + 96*T35*T34*T37^2)</f>
        <v>863691079680000</v>
      </c>
      <c r="V3" s="50">
        <f>16*T37^2</f>
        <v>268435456</v>
      </c>
      <c r="W3" s="36">
        <f>U3*$B$24</f>
        <v>6909528637440000</v>
      </c>
      <c r="X3" s="36"/>
      <c r="Y3" s="36"/>
      <c r="Z3" s="36"/>
      <c r="AB3" s="52">
        <f>3*AB35*AB34*AB37^3 + 256*AB35*AB34*AB37^2*LOG(2*AB37,2)</f>
        <v>5411658792960000</v>
      </c>
      <c r="AC3" s="50">
        <f>(3*AB35*AB34*AB37^2 + 96*AB35*AB34*AB37^2)</f>
        <v>58133053440000</v>
      </c>
      <c r="AD3" s="50">
        <f>16*AB37^2</f>
        <v>67108864</v>
      </c>
      <c r="AE3" s="36">
        <f>AC3*$B$24</f>
        <v>465064427520000</v>
      </c>
      <c r="AF3" s="36"/>
      <c r="AG3" s="36"/>
    </row>
    <row r="4" spans="1:33" x14ac:dyDescent="0.55000000000000004">
      <c r="A4" s="3" t="s">
        <v>32</v>
      </c>
      <c r="B4" s="52">
        <f>2*B35*B33*B34^2</f>
        <v>101920000000000</v>
      </c>
      <c r="C4" s="50">
        <f>2 * B35 * B33 * (B34^2)</f>
        <v>101920000000000</v>
      </c>
      <c r="D4" s="50">
        <f>2 * B35 * B33 * B34</f>
        <v>7280000000</v>
      </c>
      <c r="E4" s="36">
        <f t="shared" ref="E4:E14" si="0">C4*$B$24</f>
        <v>815360000000000</v>
      </c>
      <c r="F4" s="36">
        <f t="shared" ref="F4:F14" si="1">B4/$B$42</f>
        <v>1769.4444444444443</v>
      </c>
      <c r="G4" s="36">
        <f t="shared" ref="G4:G14" si="2">E4/B$43</f>
        <v>24266.666666666668</v>
      </c>
      <c r="H4" s="36">
        <f>MAX(F4:G4)</f>
        <v>24266.666666666668</v>
      </c>
      <c r="L4" s="52">
        <f>2*L35*L33*L34^2</f>
        <v>5324800000000</v>
      </c>
      <c r="M4" s="50">
        <f>2 * L35 * L33 * (L34^2)</f>
        <v>5324800000000</v>
      </c>
      <c r="N4" s="50">
        <f>2 * L35 * L33 * L34</f>
        <v>832000000</v>
      </c>
      <c r="O4" s="36">
        <f t="shared" ref="O4:O14" si="3">M4*$B$24</f>
        <v>42598400000000</v>
      </c>
      <c r="P4" s="36"/>
      <c r="Q4" s="36"/>
      <c r="R4" s="36"/>
      <c r="T4" s="52">
        <f>2*T35*T33*T34^2</f>
        <v>1379040000000000</v>
      </c>
      <c r="U4" s="50">
        <f>2 * T35 * T33 * (T34^2)</f>
        <v>1379040000000000</v>
      </c>
      <c r="V4" s="50">
        <f>2 * T35 * T33 * T34</f>
        <v>53040000000</v>
      </c>
      <c r="W4" s="36">
        <f t="shared" ref="W4:W14" si="4">U4*$B$24</f>
        <v>1.103232E+16</v>
      </c>
      <c r="X4" s="36"/>
      <c r="Y4" s="36"/>
      <c r="Z4" s="36"/>
      <c r="AB4" s="52">
        <f>2*AB35*AB33*AB34^2</f>
        <v>101920000000000</v>
      </c>
      <c r="AC4" s="50">
        <f>2 * AB35 * AB33 * (AB34^2)</f>
        <v>101920000000000</v>
      </c>
      <c r="AD4" s="50">
        <f>2 * AB35 * AB33 * AB34</f>
        <v>7280000000</v>
      </c>
      <c r="AE4" s="36">
        <f t="shared" ref="AE4:AE14" si="5">AC4*$B$24</f>
        <v>815360000000000</v>
      </c>
      <c r="AF4" s="36"/>
      <c r="AG4" s="36"/>
    </row>
    <row r="5" spans="1:33" x14ac:dyDescent="0.55000000000000004">
      <c r="A5" s="3" t="s">
        <v>33</v>
      </c>
      <c r="B5" s="51">
        <f>(2/3) * (B34^3)</f>
        <v>1829333333333.3333</v>
      </c>
      <c r="C5" s="51">
        <f>(1/2) * (B34^3)</f>
        <v>1372000000000</v>
      </c>
      <c r="D5" s="51">
        <f>2 * B35 * B33 * B34</f>
        <v>7280000000</v>
      </c>
      <c r="E5" s="36">
        <f t="shared" si="0"/>
        <v>10976000000000</v>
      </c>
      <c r="F5" s="36">
        <f t="shared" si="1"/>
        <v>31.75925925925926</v>
      </c>
      <c r="G5" s="36">
        <f t="shared" si="2"/>
        <v>326.66666666666669</v>
      </c>
      <c r="H5" s="36">
        <f t="shared" ref="H5:H14" si="6">MAX(F5:G5)</f>
        <v>326.66666666666669</v>
      </c>
      <c r="L5" s="51">
        <f>(2/3) * (L34^3)</f>
        <v>174762666666.66666</v>
      </c>
      <c r="M5" s="51">
        <f>(1/2) * (L34^3)</f>
        <v>131072000000</v>
      </c>
      <c r="N5" s="51">
        <f>2 * L35 * L33 * L34</f>
        <v>832000000</v>
      </c>
      <c r="O5" s="36">
        <f t="shared" si="3"/>
        <v>1048576000000</v>
      </c>
      <c r="P5" s="36"/>
      <c r="Q5" s="36"/>
      <c r="R5" s="36"/>
      <c r="T5" s="51">
        <f>(2/3) * (T34^3)</f>
        <v>11717333333333.332</v>
      </c>
      <c r="U5" s="51">
        <f>(1/2) * (T34^3)</f>
        <v>8788000000000</v>
      </c>
      <c r="V5" s="51">
        <f>2 * T35 * T33 * T34</f>
        <v>53040000000</v>
      </c>
      <c r="W5" s="36">
        <f t="shared" si="4"/>
        <v>70304000000000</v>
      </c>
      <c r="X5" s="36"/>
      <c r="Y5" s="36"/>
      <c r="Z5" s="36"/>
      <c r="AB5" s="51">
        <f>(2/3) * (AB34^3)</f>
        <v>1829333333333.3333</v>
      </c>
      <c r="AC5" s="51">
        <f>(1/2) * (AB34^3)</f>
        <v>1372000000000</v>
      </c>
      <c r="AD5" s="51">
        <f>2 * AB35 * AB33 * AB34</f>
        <v>7280000000</v>
      </c>
      <c r="AE5" s="36">
        <f t="shared" si="5"/>
        <v>10976000000000</v>
      </c>
      <c r="AF5" s="36"/>
      <c r="AG5" s="36"/>
    </row>
    <row r="6" spans="1:33" x14ac:dyDescent="0.55000000000000004">
      <c r="A6" s="3" t="s">
        <v>34</v>
      </c>
      <c r="B6" s="52">
        <f>2 * B35 * B33 * B34</f>
        <v>7280000000</v>
      </c>
      <c r="C6" s="50">
        <f>2 * B35 * B33 * B34</f>
        <v>7280000000</v>
      </c>
      <c r="D6" s="50">
        <f>2 * B35 * B33 * B34</f>
        <v>7280000000</v>
      </c>
      <c r="E6" s="36">
        <f t="shared" si="0"/>
        <v>58240000000</v>
      </c>
      <c r="F6" s="36">
        <f t="shared" si="1"/>
        <v>0.12638888888888888</v>
      </c>
      <c r="G6" s="36">
        <f t="shared" si="2"/>
        <v>1.7333333333333334</v>
      </c>
      <c r="H6" s="36">
        <f t="shared" si="6"/>
        <v>1.7333333333333334</v>
      </c>
      <c r="L6" s="52">
        <f>2 * L35 * L33 * L34</f>
        <v>832000000</v>
      </c>
      <c r="M6" s="50">
        <f>2 * L35 * L33 * L34</f>
        <v>832000000</v>
      </c>
      <c r="N6" s="50">
        <f>2 * L35 * L33 * L34</f>
        <v>832000000</v>
      </c>
      <c r="O6" s="36">
        <f t="shared" si="3"/>
        <v>6656000000</v>
      </c>
      <c r="P6" s="36"/>
      <c r="Q6" s="36"/>
      <c r="R6" s="36"/>
      <c r="T6" s="52">
        <f>2 * T35 * T33 * T34</f>
        <v>53040000000</v>
      </c>
      <c r="U6" s="50">
        <f>2 * T35 * T33 * T34</f>
        <v>53040000000</v>
      </c>
      <c r="V6" s="50">
        <f>2 * T35 * T33 * T34</f>
        <v>53040000000</v>
      </c>
      <c r="W6" s="36">
        <f t="shared" si="4"/>
        <v>424320000000</v>
      </c>
      <c r="X6" s="36"/>
      <c r="Y6" s="36"/>
      <c r="Z6" s="36"/>
      <c r="AB6" s="52">
        <f>2 * AB35 * AB33 * AB34</f>
        <v>7280000000</v>
      </c>
      <c r="AC6" s="50">
        <f>2 * AB35 * AB33 * AB34</f>
        <v>7280000000</v>
      </c>
      <c r="AD6" s="50">
        <f>2 * AB35 * AB33 * AB34</f>
        <v>7280000000</v>
      </c>
      <c r="AE6" s="36">
        <f t="shared" si="5"/>
        <v>58240000000</v>
      </c>
      <c r="AF6" s="36"/>
      <c r="AG6" s="36"/>
    </row>
    <row r="7" spans="1:33" x14ac:dyDescent="0.55000000000000004">
      <c r="A7" s="3" t="s">
        <v>35</v>
      </c>
      <c r="B7" s="52">
        <f>4 * B33 * B36 * B35</f>
        <v>3120000</v>
      </c>
      <c r="C7" s="50">
        <f>2 * B33 * B35 * B36</f>
        <v>1560000</v>
      </c>
      <c r="D7" s="50">
        <f>2 * B33 * B35 * B36</f>
        <v>1560000</v>
      </c>
      <c r="E7" s="36">
        <f t="shared" si="0"/>
        <v>12480000</v>
      </c>
      <c r="F7" s="36">
        <f t="shared" si="1"/>
        <v>5.4166666666666664E-5</v>
      </c>
      <c r="G7" s="36">
        <f t="shared" si="2"/>
        <v>3.7142857142857143E-4</v>
      </c>
      <c r="H7" s="36">
        <f t="shared" si="6"/>
        <v>3.7142857142857143E-4</v>
      </c>
      <c r="L7" s="52">
        <f>4 * L33 * L36 * L35</f>
        <v>780000</v>
      </c>
      <c r="M7" s="50">
        <f>2 * L33 * L35 * L36</f>
        <v>390000</v>
      </c>
      <c r="N7" s="50">
        <f>2 * L33 * L35 * L36</f>
        <v>390000</v>
      </c>
      <c r="O7" s="36">
        <f t="shared" si="3"/>
        <v>3120000</v>
      </c>
      <c r="P7" s="36"/>
      <c r="Q7" s="36"/>
      <c r="R7" s="36"/>
      <c r="T7" s="52">
        <f>4 * T33 * T36 * T35</f>
        <v>12240000</v>
      </c>
      <c r="U7" s="50">
        <f>2 * T33 * T35 * T36</f>
        <v>6120000</v>
      </c>
      <c r="V7" s="50">
        <f>2 * T33 * T35 * T36</f>
        <v>6120000</v>
      </c>
      <c r="W7" s="36">
        <f t="shared" si="4"/>
        <v>48960000</v>
      </c>
      <c r="X7" s="36"/>
      <c r="Y7" s="36"/>
      <c r="Z7" s="36"/>
      <c r="AB7" s="52">
        <f>4 * AB33 * AB36 * AB35</f>
        <v>3120000</v>
      </c>
      <c r="AC7" s="50">
        <f>2 * AB33 * AB35 * AB36</f>
        <v>1560000</v>
      </c>
      <c r="AD7" s="50">
        <f>2 * AB33 * AB35 * AB36</f>
        <v>1560000</v>
      </c>
      <c r="AE7" s="36">
        <f t="shared" si="5"/>
        <v>12480000</v>
      </c>
      <c r="AF7" s="36"/>
      <c r="AG7" s="36"/>
    </row>
    <row r="8" spans="1:33" x14ac:dyDescent="0.55000000000000004">
      <c r="A8" s="3" t="s">
        <v>36</v>
      </c>
      <c r="B8" s="52">
        <f>B35 * B33 * (B34^2)</f>
        <v>50960000000000</v>
      </c>
      <c r="C8" s="50">
        <f>B35 * B33 * (B34^2)</f>
        <v>50960000000000</v>
      </c>
      <c r="D8" s="50">
        <f>2 * B35 * B33 * B34</f>
        <v>7280000000</v>
      </c>
      <c r="E8" s="36">
        <f t="shared" si="0"/>
        <v>407680000000000</v>
      </c>
      <c r="F8" s="36">
        <f t="shared" si="1"/>
        <v>884.72222222222217</v>
      </c>
      <c r="G8" s="36">
        <f t="shared" si="2"/>
        <v>12133.333333333334</v>
      </c>
      <c r="H8" s="36">
        <f t="shared" si="6"/>
        <v>12133.333333333334</v>
      </c>
      <c r="L8" s="52">
        <f>L35 * L33 * (L34^2)</f>
        <v>2662400000000</v>
      </c>
      <c r="M8" s="50">
        <f>L35 * L33 * (L34^2)</f>
        <v>2662400000000</v>
      </c>
      <c r="N8" s="50">
        <f>2 * L35 * L33 * L34</f>
        <v>832000000</v>
      </c>
      <c r="O8" s="36">
        <f t="shared" si="3"/>
        <v>21299200000000</v>
      </c>
      <c r="P8" s="36"/>
      <c r="Q8" s="36"/>
      <c r="R8" s="36"/>
      <c r="T8" s="52">
        <f>T35 * T33 * (T34^2)</f>
        <v>689520000000000</v>
      </c>
      <c r="U8" s="50">
        <f>T35 * T33 * (T34^2)</f>
        <v>689520000000000</v>
      </c>
      <c r="V8" s="50">
        <f>2 * T35 * T33 * T34</f>
        <v>53040000000</v>
      </c>
      <c r="W8" s="36">
        <f t="shared" si="4"/>
        <v>5516160000000000</v>
      </c>
      <c r="X8" s="36"/>
      <c r="Y8" s="36"/>
      <c r="Z8" s="36"/>
      <c r="AB8" s="52">
        <f>AB35 * AB33 * (AB34^2)</f>
        <v>50960000000000</v>
      </c>
      <c r="AC8" s="50">
        <f>AB35 * AB33 * (AB34^2)</f>
        <v>50960000000000</v>
      </c>
      <c r="AD8" s="50">
        <f>2 * AB35 * AB33 * AB34</f>
        <v>7280000000</v>
      </c>
      <c r="AE8" s="36">
        <f t="shared" si="5"/>
        <v>407680000000000</v>
      </c>
      <c r="AF8" s="36"/>
      <c r="AG8" s="36"/>
    </row>
    <row r="9" spans="1:33" x14ac:dyDescent="0.55000000000000004">
      <c r="A9" s="3" t="s">
        <v>37</v>
      </c>
      <c r="B9" s="52">
        <f>3*B35*B38*B37^3 + 256 * B35 * B38 * B37^2 * LOG(2*B37,2)</f>
        <v>3865470566400</v>
      </c>
      <c r="C9" s="50">
        <f xml:space="preserve"> 3 * B35 * B38 * B37^3 + 96*B35 * B38 * B37^2</f>
        <v>2617245696000</v>
      </c>
      <c r="D9" s="50">
        <f>(12 * B35 + 16)*B37^2</f>
        <v>570425344</v>
      </c>
      <c r="E9" s="36">
        <f t="shared" si="0"/>
        <v>20937965568000</v>
      </c>
      <c r="F9" s="36">
        <f t="shared" si="1"/>
        <v>67.108863999999997</v>
      </c>
      <c r="G9" s="36">
        <f t="shared" si="2"/>
        <v>623.15373714285715</v>
      </c>
      <c r="H9" s="36">
        <f t="shared" si="6"/>
        <v>623.15373714285715</v>
      </c>
      <c r="L9" s="52">
        <f>3*L35*L38*L37^3 + 256 * L35 * L38 * L37^2 * LOG(2*L37,2)</f>
        <v>308700774400</v>
      </c>
      <c r="M9" s="50">
        <f xml:space="preserve"> 3 * L35 * L38 * L37^3 + 96*L35 * L38 * L37^2</f>
        <v>166094438400</v>
      </c>
      <c r="N9" s="50">
        <f>(12 * L35 + 16)*L37^2</f>
        <v>79691776</v>
      </c>
      <c r="O9" s="36">
        <f t="shared" si="3"/>
        <v>1328755507200</v>
      </c>
      <c r="P9" s="36"/>
      <c r="Q9" s="36"/>
      <c r="R9" s="36"/>
      <c r="T9" s="52">
        <f>3*T35*T38*T37^3 + 256 * T35 * T38 * T37^2 * LOG(2*T37,2)</f>
        <v>52398601011200</v>
      </c>
      <c r="U9" s="50">
        <f xml:space="preserve"> 3 * T35 * T38 * T37^3 + 96*T35 * T38 * T37^2</f>
        <v>41553808588800</v>
      </c>
      <c r="V9" s="50">
        <f>(12 * T35 + 16)*T37^2</f>
        <v>4294967296</v>
      </c>
      <c r="W9" s="36">
        <f t="shared" si="4"/>
        <v>332430468710400</v>
      </c>
      <c r="X9" s="36"/>
      <c r="Y9" s="36"/>
      <c r="Z9" s="36"/>
      <c r="AB9" s="52">
        <f>3*AB35*AB38*AB37^3 + 256 * AB35 * AB38 * AB37^2 * LOG(2*AB37,2)</f>
        <v>3865470566400</v>
      </c>
      <c r="AC9" s="50">
        <f xml:space="preserve"> 3 * AB35 * AB38 * AB37^3 + 96*AB35 * AB38 * AB37^2</f>
        <v>2617245696000</v>
      </c>
      <c r="AD9" s="50">
        <f>(12 * AB35 + 16)*AB37^2</f>
        <v>570425344</v>
      </c>
      <c r="AE9" s="36">
        <f t="shared" si="5"/>
        <v>20937965568000</v>
      </c>
      <c r="AF9" s="36"/>
      <c r="AG9" s="36"/>
    </row>
    <row r="10" spans="1:33" x14ac:dyDescent="0.55000000000000004">
      <c r="A10" s="3" t="s">
        <v>38</v>
      </c>
      <c r="B10" s="52">
        <f>2*B33*B34^2 + B39/3 * B34^3</f>
        <v>19338666666666.668</v>
      </c>
      <c r="C10" s="50">
        <f>2*B33*B34^2+B39/6 * B34^3</f>
        <v>14765333333333.334</v>
      </c>
      <c r="D10" s="50">
        <f>2*B33*B34</f>
        <v>728000000</v>
      </c>
      <c r="E10" s="36">
        <f t="shared" si="0"/>
        <v>118122666666666.67</v>
      </c>
      <c r="F10" s="36">
        <f t="shared" si="1"/>
        <v>335.74074074074076</v>
      </c>
      <c r="G10" s="36">
        <f t="shared" si="2"/>
        <v>3515.5555555555557</v>
      </c>
      <c r="H10" s="36">
        <f t="shared" si="6"/>
        <v>3515.5555555555557</v>
      </c>
      <c r="L10" s="52">
        <f>2*L33*L34^2 + L39/3 * L34^3</f>
        <v>1938773333333.3335</v>
      </c>
      <c r="M10" s="50">
        <f>2*L33*L34^2+L39/6 * L34^3</f>
        <v>1501866666666.6667</v>
      </c>
      <c r="N10" s="50">
        <f>2*L33*L34</f>
        <v>166400000</v>
      </c>
      <c r="O10" s="36">
        <f t="shared" si="3"/>
        <v>12014933333333.334</v>
      </c>
      <c r="P10" s="36"/>
      <c r="Q10" s="36"/>
      <c r="R10" s="36"/>
      <c r="T10" s="52">
        <f>2*T33*T34^2 + T39/3 * T34^3</f>
        <v>127538666666666.67</v>
      </c>
      <c r="U10" s="50">
        <f>2*T33*T34^2+T39/6 * T34^3</f>
        <v>98245333333333.344</v>
      </c>
      <c r="V10" s="50">
        <f>2*T33*T34</f>
        <v>2652000000</v>
      </c>
      <c r="W10" s="36">
        <f t="shared" si="4"/>
        <v>785962666666666.75</v>
      </c>
      <c r="X10" s="36"/>
      <c r="Y10" s="36"/>
      <c r="Z10" s="36"/>
      <c r="AB10" s="52">
        <f>2*AB33*AB34^2 + AB39/3 * AB34^3</f>
        <v>19338666666666.668</v>
      </c>
      <c r="AC10" s="50">
        <f>2*AB33*AB34^2+AB39/6 * AB34^3</f>
        <v>14765333333333.334</v>
      </c>
      <c r="AD10" s="50">
        <f>2*AB33*AB34</f>
        <v>728000000</v>
      </c>
      <c r="AE10" s="36">
        <f t="shared" si="5"/>
        <v>118122666666666.67</v>
      </c>
      <c r="AF10" s="36"/>
      <c r="AG10" s="36"/>
    </row>
    <row r="11" spans="1:33" x14ac:dyDescent="0.55000000000000004">
      <c r="A11" s="3" t="s">
        <v>39</v>
      </c>
      <c r="B11" s="52">
        <f>2*B35*B33*B34</f>
        <v>7280000000</v>
      </c>
      <c r="C11" s="50">
        <f>2*B35*B33*B34</f>
        <v>7280000000</v>
      </c>
      <c r="D11" s="50">
        <f>2*B35*B33*B34</f>
        <v>7280000000</v>
      </c>
      <c r="E11" s="36">
        <f t="shared" si="0"/>
        <v>58240000000</v>
      </c>
      <c r="F11" s="36">
        <f t="shared" si="1"/>
        <v>0.12638888888888888</v>
      </c>
      <c r="G11" s="36">
        <f t="shared" si="2"/>
        <v>1.7333333333333334</v>
      </c>
      <c r="H11" s="36">
        <f t="shared" si="6"/>
        <v>1.7333333333333334</v>
      </c>
      <c r="L11" s="52">
        <f>2*L35*L33*L34</f>
        <v>832000000</v>
      </c>
      <c r="M11" s="50">
        <f>2*L35*L33*L34</f>
        <v>832000000</v>
      </c>
      <c r="N11" s="50">
        <f>2*L35*L33*L34</f>
        <v>832000000</v>
      </c>
      <c r="O11" s="36">
        <f t="shared" si="3"/>
        <v>6656000000</v>
      </c>
      <c r="P11" s="36"/>
      <c r="Q11" s="36"/>
      <c r="R11" s="36"/>
      <c r="T11" s="52">
        <f>2*T35*T33*T34</f>
        <v>53040000000</v>
      </c>
      <c r="U11" s="50">
        <f>2*T35*T33*T34</f>
        <v>53040000000</v>
      </c>
      <c r="V11" s="50">
        <f>2*T35*T33*T34</f>
        <v>53040000000</v>
      </c>
      <c r="W11" s="36">
        <f t="shared" si="4"/>
        <v>424320000000</v>
      </c>
      <c r="X11" s="36"/>
      <c r="Y11" s="36"/>
      <c r="Z11" s="36"/>
      <c r="AB11" s="52">
        <f>2*AB35*AB33*AB34</f>
        <v>7280000000</v>
      </c>
      <c r="AC11" s="50">
        <f>2*AB35*AB33*AB34</f>
        <v>7280000000</v>
      </c>
      <c r="AD11" s="50">
        <f>2*AB35*AB33*AB34</f>
        <v>7280000000</v>
      </c>
      <c r="AE11" s="36">
        <f t="shared" si="5"/>
        <v>58240000000</v>
      </c>
      <c r="AF11" s="36"/>
      <c r="AG11" s="36"/>
    </row>
    <row r="12" spans="1:33" x14ac:dyDescent="0.55000000000000004">
      <c r="A12" s="3" t="s">
        <v>40</v>
      </c>
      <c r="B12" s="52">
        <f>24 * B35 * B41 * LOG(B41, 2)</f>
        <v>91517237.777491838</v>
      </c>
      <c r="C12" s="50">
        <f>6 * B35 * B41</f>
        <v>1560000</v>
      </c>
      <c r="D12" s="50">
        <f>2 * B35 * B41</f>
        <v>520000</v>
      </c>
      <c r="E12" s="36">
        <f t="shared" si="0"/>
        <v>12480000</v>
      </c>
      <c r="F12" s="36">
        <f t="shared" si="1"/>
        <v>1.588840933637011E-3</v>
      </c>
      <c r="G12" s="36">
        <f t="shared" si="2"/>
        <v>3.7142857142857143E-4</v>
      </c>
      <c r="H12" s="36">
        <f t="shared" si="6"/>
        <v>1.588840933637011E-3</v>
      </c>
      <c r="L12" s="52">
        <f>24 * L35 * L41 * LOG(L41, 2)</f>
        <v>21319309.444372956</v>
      </c>
      <c r="M12" s="50">
        <f>6 * L35 * L41</f>
        <v>390000</v>
      </c>
      <c r="N12" s="50">
        <f>2 * L35 * L41</f>
        <v>130000</v>
      </c>
      <c r="O12" s="36">
        <f t="shared" si="3"/>
        <v>3120000</v>
      </c>
      <c r="P12" s="36"/>
      <c r="Q12" s="36"/>
      <c r="R12" s="36"/>
      <c r="T12" s="52">
        <f>24 * T35 * T41 * LOG(T41, 2)</f>
        <v>382823371.65999013</v>
      </c>
      <c r="U12" s="50">
        <f>6 * T35 * T41</f>
        <v>6120000</v>
      </c>
      <c r="V12" s="50">
        <f>2 * T35 * T41</f>
        <v>2040000</v>
      </c>
      <c r="W12" s="36">
        <f t="shared" si="4"/>
        <v>48960000</v>
      </c>
      <c r="X12" s="36"/>
      <c r="Y12" s="36"/>
      <c r="Z12" s="36"/>
      <c r="AB12" s="52">
        <f>24 * AB35 * AB41 * LOG(AB41, 2)</f>
        <v>91517237.777491838</v>
      </c>
      <c r="AC12" s="50">
        <f>6 * AB35 * AB41</f>
        <v>1560000</v>
      </c>
      <c r="AD12" s="50">
        <f>2 * AB35 * AB41</f>
        <v>520000</v>
      </c>
      <c r="AE12" s="36">
        <f t="shared" si="5"/>
        <v>12480000</v>
      </c>
      <c r="AF12" s="36"/>
      <c r="AG12" s="36"/>
    </row>
    <row r="13" spans="1:33" x14ac:dyDescent="0.55000000000000004">
      <c r="A13" t="s">
        <v>41</v>
      </c>
      <c r="B13" s="52">
        <f>16 * (B34^2) * B36 * B35 * B33</f>
        <v>2446080000000000</v>
      </c>
      <c r="C13" s="50">
        <f>4 * (2 + B36) * (B34^2) * B35 * B33</f>
        <v>1019200000000000</v>
      </c>
      <c r="D13" s="50">
        <f>2 * (B36 + 2) * B34 * B35 * B33</f>
        <v>36400000000</v>
      </c>
      <c r="E13" s="36">
        <f>C13*$B$24</f>
        <v>8153600000000000</v>
      </c>
      <c r="F13" s="36">
        <f t="shared" si="1"/>
        <v>42466.666666666664</v>
      </c>
      <c r="G13" s="36">
        <f t="shared" si="2"/>
        <v>242666.66666666666</v>
      </c>
      <c r="H13" s="36">
        <f t="shared" si="6"/>
        <v>242666.66666666666</v>
      </c>
      <c r="L13" s="52">
        <f>16 * (L34^2) * L36 * L35 * L33</f>
        <v>127795200000000</v>
      </c>
      <c r="M13" s="50">
        <f>4 * (2 + L36) * (L34^2) * L35 * L33</f>
        <v>53248000000000</v>
      </c>
      <c r="N13" s="50">
        <f>2 * (L36 + 2) * L34 * L35 * L33</f>
        <v>4160000000</v>
      </c>
      <c r="O13" s="36">
        <f t="shared" si="3"/>
        <v>425984000000000</v>
      </c>
      <c r="P13" s="36"/>
      <c r="Q13" s="36"/>
      <c r="R13" s="36"/>
      <c r="T13" s="52">
        <f>16 * (T34^2) * T36 * T35 * T33</f>
        <v>3.309696E+16</v>
      </c>
      <c r="U13" s="50">
        <f>4 * (2 + T36) * (T34^2) * T35 * T33</f>
        <v>1.37904E+16</v>
      </c>
      <c r="V13" s="50">
        <f>2 * (T36 + 2) * T34 * T35 * T33</f>
        <v>265200000000</v>
      </c>
      <c r="W13" s="36">
        <f t="shared" si="4"/>
        <v>1.103232E+17</v>
      </c>
      <c r="X13" s="36"/>
      <c r="Y13" s="36"/>
      <c r="Z13" s="36"/>
      <c r="AB13" s="52">
        <f>16 * (AB34^2) * AB36 * AB35 * AB33</f>
        <v>2446080000000000</v>
      </c>
      <c r="AC13" s="50">
        <f>4 * (2 + AB36) * (AB34^2) * AB35 * AB33</f>
        <v>1019200000000000</v>
      </c>
      <c r="AD13" s="50">
        <f>2 * (AB36 + 2) * AB34 * AB35 * AB33</f>
        <v>36400000000</v>
      </c>
      <c r="AE13" s="36">
        <f t="shared" si="5"/>
        <v>8153600000000000</v>
      </c>
      <c r="AF13" s="36"/>
      <c r="AG13" s="36"/>
    </row>
    <row r="14" spans="1:33" x14ac:dyDescent="0.55000000000000004">
      <c r="A14" s="8" t="s">
        <v>42</v>
      </c>
      <c r="B14" s="52">
        <f>6 * B40 * (B34^2) + 20 * (B34^3)</f>
        <v>60877600000000</v>
      </c>
      <c r="C14" s="50">
        <f>4.5 * B40 * (B34^2) + 15 * (B34^3)</f>
        <v>45658200000000</v>
      </c>
      <c r="D14" s="50">
        <f>B41 * B34</f>
        <v>364000000</v>
      </c>
      <c r="E14" s="36">
        <f t="shared" si="0"/>
        <v>365265600000000</v>
      </c>
      <c r="F14" s="36">
        <f t="shared" si="1"/>
        <v>1056.9027777777778</v>
      </c>
      <c r="G14" s="36">
        <f t="shared" si="2"/>
        <v>10871</v>
      </c>
      <c r="H14" s="36">
        <f t="shared" si="6"/>
        <v>10871</v>
      </c>
      <c r="L14" s="52">
        <f>6 * L40 * (L34^2) + 20 * (L34^3)</f>
        <v>5881856000000</v>
      </c>
      <c r="M14" s="50">
        <f>4.5 * L40 * (L34^2) + 15 * (L34^3)</f>
        <v>4411392000000</v>
      </c>
      <c r="N14" s="50">
        <f>L41 * L34</f>
        <v>83200000</v>
      </c>
      <c r="O14" s="36">
        <f t="shared" si="3"/>
        <v>35291136000000</v>
      </c>
      <c r="P14" s="36"/>
      <c r="Q14" s="36"/>
      <c r="R14" s="36"/>
      <c r="T14" s="52">
        <f>6 * T40 * (T34^2) + 20 * (T34^3)</f>
        <v>392080000000000</v>
      </c>
      <c r="U14" s="50">
        <f>4.5 * T40 * (T34^2) + 15 * (T34^3)</f>
        <v>294060000000000</v>
      </c>
      <c r="V14" s="50">
        <f>T41 * T34</f>
        <v>1326000000</v>
      </c>
      <c r="W14" s="36">
        <f t="shared" si="4"/>
        <v>2352480000000000</v>
      </c>
      <c r="X14" s="36"/>
      <c r="Y14" s="36"/>
      <c r="Z14" s="36"/>
      <c r="AB14" s="52">
        <f>6 * AB40 * (AB34^2) + 20 * (AB34^3)</f>
        <v>60877600000000</v>
      </c>
      <c r="AC14" s="50">
        <f>4.5 * AB40 * (AB34^2) + 15 * (AB34^3)</f>
        <v>45658200000000</v>
      </c>
      <c r="AD14" s="50">
        <f>AB41 * AB34</f>
        <v>364000000</v>
      </c>
      <c r="AE14" s="36">
        <f t="shared" si="5"/>
        <v>365265600000000</v>
      </c>
      <c r="AF14" s="36"/>
      <c r="AG14" s="36"/>
    </row>
    <row r="22" spans="1:28" x14ac:dyDescent="0.55000000000000004">
      <c r="A22" s="130" t="s">
        <v>107</v>
      </c>
      <c r="B22" s="130"/>
      <c r="C22" s="130"/>
    </row>
    <row r="23" spans="1:28" x14ac:dyDescent="0.55000000000000004">
      <c r="A23" s="17" t="s">
        <v>109</v>
      </c>
      <c r="B23" s="17" t="s">
        <v>110</v>
      </c>
      <c r="C23" s="17" t="s">
        <v>111</v>
      </c>
    </row>
    <row r="24" spans="1:28" x14ac:dyDescent="0.55000000000000004">
      <c r="A24" t="s">
        <v>108</v>
      </c>
      <c r="B24">
        <v>8</v>
      </c>
      <c r="C24" t="s">
        <v>112</v>
      </c>
    </row>
    <row r="30" spans="1:28" x14ac:dyDescent="0.55000000000000004">
      <c r="A30" s="141" t="s">
        <v>113</v>
      </c>
      <c r="B30" s="141"/>
      <c r="C30" s="141"/>
    </row>
    <row r="31" spans="1:28" x14ac:dyDescent="0.55000000000000004">
      <c r="A31" t="s">
        <v>1</v>
      </c>
      <c r="L31" s="139" t="s">
        <v>24</v>
      </c>
      <c r="M31" s="139"/>
      <c r="N31" s="139"/>
      <c r="O31" s="139"/>
      <c r="P31" s="139"/>
      <c r="Q31" s="139"/>
      <c r="R31" s="139"/>
      <c r="S31" s="139"/>
      <c r="T31" s="139"/>
      <c r="U31" s="139"/>
      <c r="V31" s="139"/>
      <c r="W31" s="139"/>
      <c r="X31" s="139"/>
      <c r="Y31" s="139"/>
      <c r="Z31" s="139"/>
      <c r="AA31" s="139"/>
    </row>
    <row r="32" spans="1:28" x14ac:dyDescent="0.55000000000000004">
      <c r="B32" s="13" t="s">
        <v>131</v>
      </c>
      <c r="L32" t="str">
        <f>'Top Level Case Parameters'!G17</f>
        <v>HabEx</v>
      </c>
      <c r="T32" t="str">
        <f>'Top Level Case Parameters'!H17</f>
        <v>LUVOIR</v>
      </c>
      <c r="AB32" t="s">
        <v>141</v>
      </c>
    </row>
    <row r="33" spans="1:28" x14ac:dyDescent="0.55000000000000004">
      <c r="A33" s="5" t="s">
        <v>6</v>
      </c>
      <c r="B33">
        <f>'Top Level Case Parameters'!I4</f>
        <v>26000</v>
      </c>
      <c r="L33">
        <f>'Top Level Case Parameters'!G4</f>
        <v>13000</v>
      </c>
      <c r="T33">
        <f>'Top Level Case Parameters'!H4</f>
        <v>51000</v>
      </c>
      <c r="AB33">
        <f>'Top Level Case Parameters'!D4</f>
        <v>26000</v>
      </c>
    </row>
    <row r="34" spans="1:28" x14ac:dyDescent="0.55000000000000004">
      <c r="A34" s="3" t="s">
        <v>8</v>
      </c>
      <c r="B34">
        <f>'Top Level Case Parameters'!I5</f>
        <v>14000</v>
      </c>
      <c r="L34">
        <f>'Top Level Case Parameters'!G5</f>
        <v>6400</v>
      </c>
      <c r="T34">
        <f>'Top Level Case Parameters'!H5</f>
        <v>26000</v>
      </c>
      <c r="AB34">
        <f>'Top Level Case Parameters'!D5</f>
        <v>14000</v>
      </c>
    </row>
    <row r="35" spans="1:28" x14ac:dyDescent="0.55000000000000004">
      <c r="A35" s="3" t="s">
        <v>10</v>
      </c>
      <c r="B35">
        <f>'Top Level Case Parameters'!I6</f>
        <v>10</v>
      </c>
      <c r="L35">
        <f>'Top Level Case Parameters'!G6</f>
        <v>5</v>
      </c>
      <c r="T35">
        <f>'Top Level Case Parameters'!H6</f>
        <v>20</v>
      </c>
      <c r="AB35">
        <f>'Top Level Case Parameters'!D6</f>
        <v>10</v>
      </c>
    </row>
    <row r="36" spans="1:28" x14ac:dyDescent="0.55000000000000004">
      <c r="A36" s="3" t="s">
        <v>12</v>
      </c>
      <c r="B36">
        <f>'Top Level Case Parameters'!I7</f>
        <v>3</v>
      </c>
      <c r="L36">
        <f>'Top Level Case Parameters'!G7</f>
        <v>3</v>
      </c>
      <c r="T36">
        <f>'Top Level Case Parameters'!H7</f>
        <v>3</v>
      </c>
      <c r="AB36">
        <f>'Top Level Case Parameters'!D7</f>
        <v>3</v>
      </c>
    </row>
    <row r="37" spans="1:28" x14ac:dyDescent="0.55000000000000004">
      <c r="A37" s="3" t="s">
        <v>14</v>
      </c>
      <c r="B37">
        <f>'Top Level Case Parameters'!I8</f>
        <v>2048</v>
      </c>
      <c r="L37">
        <f>'Top Level Case Parameters'!G8</f>
        <v>1024</v>
      </c>
      <c r="T37">
        <f>'Top Level Case Parameters'!H8</f>
        <v>4096</v>
      </c>
      <c r="AB37">
        <f>'Top Level Case Parameters'!D8</f>
        <v>2048</v>
      </c>
    </row>
    <row r="38" spans="1:28" x14ac:dyDescent="0.55000000000000004">
      <c r="A38" s="3" t="s">
        <v>16</v>
      </c>
      <c r="B38">
        <f>'Top Level Case Parameters'!I9</f>
        <v>10</v>
      </c>
      <c r="L38">
        <f>'Top Level Case Parameters'!G9</f>
        <v>10</v>
      </c>
      <c r="T38">
        <f>'Top Level Case Parameters'!H9</f>
        <v>10</v>
      </c>
      <c r="AB38">
        <f>'Top Level Case Parameters'!D9</f>
        <v>10</v>
      </c>
    </row>
    <row r="39" spans="1:28" x14ac:dyDescent="0.55000000000000004">
      <c r="A39" s="3" t="s">
        <v>18</v>
      </c>
      <c r="B39">
        <f>'Top Level Case Parameters'!I10</f>
        <v>10</v>
      </c>
      <c r="L39">
        <f>'Top Level Case Parameters'!G10</f>
        <v>10</v>
      </c>
      <c r="T39">
        <f>'Top Level Case Parameters'!H10</f>
        <v>10</v>
      </c>
      <c r="AB39">
        <f>'Top Level Case Parameters'!D10</f>
        <v>10</v>
      </c>
    </row>
    <row r="40" spans="1:28" x14ac:dyDescent="0.55000000000000004">
      <c r="A40" s="3" t="s">
        <v>20</v>
      </c>
      <c r="B40">
        <f>'Top Level Case Parameters'!I11</f>
        <v>5100</v>
      </c>
      <c r="L40">
        <f>'Top Level Case Parameters'!G11</f>
        <v>2600</v>
      </c>
      <c r="T40">
        <f>'Top Level Case Parameters'!H11</f>
        <v>10000</v>
      </c>
      <c r="AB40">
        <f>'Top Level Case Parameters'!D11</f>
        <v>5100</v>
      </c>
    </row>
    <row r="41" spans="1:28" x14ac:dyDescent="0.55000000000000004">
      <c r="A41" s="8" t="s">
        <v>22</v>
      </c>
      <c r="B41">
        <f>'Top Level Case Parameters'!I12</f>
        <v>26000</v>
      </c>
      <c r="L41">
        <f>'Top Level Case Parameters'!G12</f>
        <v>13000</v>
      </c>
      <c r="T41">
        <f>'Top Level Case Parameters'!H12</f>
        <v>51000</v>
      </c>
      <c r="AB41">
        <f>'Top Level Case Parameters'!D12</f>
        <v>26000</v>
      </c>
    </row>
    <row r="42" spans="1:28" x14ac:dyDescent="0.55000000000000004">
      <c r="A42" t="s">
        <v>124</v>
      </c>
      <c r="B42" s="36">
        <f>'Top Level Case Parameters'!W35</f>
        <v>57600000000</v>
      </c>
    </row>
    <row r="43" spans="1:28" x14ac:dyDescent="0.55000000000000004">
      <c r="A43" t="s">
        <v>125</v>
      </c>
      <c r="B43" s="36">
        <f>'Top Level Case Parameters'!W36</f>
        <v>33600000000</v>
      </c>
    </row>
    <row r="44" spans="1:28" x14ac:dyDescent="0.55000000000000004">
      <c r="A44" t="s">
        <v>126</v>
      </c>
      <c r="B44" s="36">
        <f>'Top Level Case Parameters'!W37</f>
        <v>1000000000000</v>
      </c>
    </row>
    <row r="46" spans="1:28" x14ac:dyDescent="0.55000000000000004">
      <c r="A46" s="131" t="s">
        <v>132</v>
      </c>
      <c r="B46" s="131"/>
      <c r="C46" s="131"/>
      <c r="D46" s="131"/>
      <c r="E46" s="131"/>
      <c r="F46" s="131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  <c r="W46" s="131"/>
      <c r="X46" s="131"/>
      <c r="Y46" s="131"/>
      <c r="Z46" s="131"/>
      <c r="AA46" s="131"/>
    </row>
    <row r="47" spans="1:28" x14ac:dyDescent="0.55000000000000004">
      <c r="B47" t="str">
        <f>'Top Level Case Parameters'!A35</f>
        <v>Compute Density (OPS)</v>
      </c>
      <c r="C47">
        <f>'Top Level Case Parameters'!B35</f>
        <v>112000000000</v>
      </c>
      <c r="D47">
        <f>'Top Level Case Parameters'!C35</f>
        <v>231000000000</v>
      </c>
      <c r="E47">
        <f>'Top Level Case Parameters'!D35</f>
        <v>1332000000000</v>
      </c>
      <c r="F47">
        <f>'Top Level Case Parameters'!E35</f>
        <v>1000000000000</v>
      </c>
      <c r="G47">
        <f>'Top Level Case Parameters'!F35</f>
        <v>2340000000000</v>
      </c>
      <c r="H47">
        <f>'Top Level Case Parameters'!G35</f>
        <v>4090000000000</v>
      </c>
      <c r="I47">
        <f>'Top Level Case Parameters'!H35</f>
        <v>215000000000</v>
      </c>
      <c r="J47">
        <f>'Top Level Case Parameters'!I35</f>
        <v>168000000000</v>
      </c>
      <c r="K47">
        <f>'Top Level Case Parameters'!J35</f>
        <v>512000000000</v>
      </c>
      <c r="L47">
        <f>'Top Level Case Parameters'!K35</f>
        <v>3700000000</v>
      </c>
      <c r="M47">
        <f>'Top Level Case Parameters'!L35</f>
        <v>200000000</v>
      </c>
      <c r="N47">
        <f>'Top Level Case Parameters'!M35</f>
        <v>1000000000</v>
      </c>
      <c r="O47">
        <f>'Top Level Case Parameters'!N35</f>
        <v>200000000</v>
      </c>
      <c r="P47">
        <f>'Top Level Case Parameters'!O35</f>
        <v>57600000000</v>
      </c>
      <c r="Q47">
        <f>'Top Level Case Parameters'!P35</f>
        <v>128000000000</v>
      </c>
      <c r="R47">
        <f>'Top Level Case Parameters'!Q35</f>
        <v>900000000</v>
      </c>
      <c r="S47">
        <f>'Top Level Case Parameters'!R35</f>
        <v>25000000000</v>
      </c>
      <c r="T47">
        <f>'Top Level Case Parameters'!S35</f>
        <v>614000000000</v>
      </c>
      <c r="U47">
        <f>'Top Level Case Parameters'!T35</f>
        <v>950000000000</v>
      </c>
      <c r="V47">
        <f>'Top Level Case Parameters'!U35</f>
        <v>3870000000000</v>
      </c>
      <c r="W47">
        <f>'Top Level Case Parameters'!V35</f>
        <v>64000000000</v>
      </c>
    </row>
    <row r="48" spans="1:28" x14ac:dyDescent="0.55000000000000004">
      <c r="B48" t="str">
        <f>'Top Level Case Parameters'!A36</f>
        <v>Memory Bandwidth (B/s)</v>
      </c>
      <c r="C48">
        <f>'Top Level Case Parameters'!B36</f>
        <v>16000000000</v>
      </c>
      <c r="D48">
        <f>'Top Level Case Parameters'!C36</f>
        <v>10600000000</v>
      </c>
      <c r="E48">
        <f>'Top Level Case Parameters'!D36</f>
        <v>32000000000</v>
      </c>
      <c r="F48">
        <f>'Top Level Case Parameters'!E36</f>
        <v>30000000000</v>
      </c>
      <c r="G48">
        <f>'Top Level Case Parameters'!F36</f>
        <v>60000000000</v>
      </c>
      <c r="H48">
        <f>'Top Level Case Parameters'!G36</f>
        <v>22400000000</v>
      </c>
      <c r="I48">
        <f>'Top Level Case Parameters'!H36</f>
        <v>12500000000</v>
      </c>
      <c r="J48">
        <f>'Top Level Case Parameters'!I36</f>
        <v>2670000000</v>
      </c>
      <c r="K48">
        <f>'Top Level Case Parameters'!J36</f>
        <v>25600000000</v>
      </c>
      <c r="L48">
        <f>'Top Level Case Parameters'!K36</f>
        <v>13000000000</v>
      </c>
      <c r="M48">
        <f>'Top Level Case Parameters'!L36</f>
        <v>1600000000</v>
      </c>
      <c r="N48">
        <f>'Top Level Case Parameters'!M36</f>
        <v>800000000</v>
      </c>
      <c r="O48">
        <f>'Top Level Case Parameters'!N36</f>
        <v>400000000</v>
      </c>
      <c r="P48">
        <f>'Top Level Case Parameters'!O36</f>
        <v>33600000000</v>
      </c>
      <c r="Q48">
        <f>'Top Level Case Parameters'!P36</f>
        <v>51200000000</v>
      </c>
      <c r="R48">
        <f>'Top Level Case Parameters'!Q36</f>
        <v>4800000000</v>
      </c>
      <c r="S48">
        <f>'Top Level Case Parameters'!R36</f>
        <v>3125000000</v>
      </c>
      <c r="T48">
        <f>'Top Level Case Parameters'!S36</f>
        <v>28800000000</v>
      </c>
      <c r="U48">
        <f>'Top Level Case Parameters'!T36</f>
        <v>34100000000</v>
      </c>
      <c r="V48">
        <f>'Top Level Case Parameters'!U36</f>
        <v>136000000000</v>
      </c>
      <c r="W48">
        <f>'Top Level Case Parameters'!V36</f>
        <v>21300000000</v>
      </c>
    </row>
    <row r="49" spans="1:23" x14ac:dyDescent="0.55000000000000004">
      <c r="A49" s="49"/>
      <c r="B49" t="str">
        <f>'Top Level Case Parameters'!A37</f>
        <v>Memory Capacity (B)</v>
      </c>
      <c r="C49">
        <f>'Top Level Case Parameters'!B37</f>
        <v>45000000</v>
      </c>
      <c r="D49">
        <f>'Top Level Case Parameters'!C37</f>
        <v>32000000000</v>
      </c>
      <c r="E49">
        <f>'Top Level Case Parameters'!D37</f>
        <v>12000000000</v>
      </c>
      <c r="F49">
        <f>'Top Level Case Parameters'!E37</f>
        <v>32000000000</v>
      </c>
      <c r="G49">
        <f>'Top Level Case Parameters'!F37</f>
        <v>64000000000</v>
      </c>
      <c r="H49">
        <f>'Top Level Case Parameters'!G37</f>
        <v>128000000000</v>
      </c>
      <c r="I49">
        <f>'Top Level Case Parameters'!H37</f>
        <v>128000000000</v>
      </c>
      <c r="J49">
        <f>'Top Level Case Parameters'!I37</f>
        <v>32000000000</v>
      </c>
      <c r="K49">
        <f>'Top Level Case Parameters'!J37</f>
        <v>4000000000</v>
      </c>
      <c r="L49">
        <f>'Top Level Case Parameters'!K37</f>
        <v>64000000000</v>
      </c>
      <c r="M49">
        <f>'Top Level Case Parameters'!L37</f>
        <v>1000000000</v>
      </c>
      <c r="N49">
        <f>'Top Level Case Parameters'!M37</f>
        <v>4000000000</v>
      </c>
      <c r="O49">
        <f>'Top Level Case Parameters'!N37</f>
        <v>1000000000</v>
      </c>
      <c r="P49">
        <f>'Top Level Case Parameters'!O37</f>
        <v>64000000000</v>
      </c>
      <c r="Q49">
        <f>'Top Level Case Parameters'!P37</f>
        <v>64000000000</v>
      </c>
      <c r="R49">
        <f>'Top Level Case Parameters'!Q37</f>
        <v>500000000</v>
      </c>
      <c r="S49">
        <f>'Top Level Case Parameters'!R37</f>
        <v>16000000000</v>
      </c>
      <c r="T49">
        <f>'Top Level Case Parameters'!S37</f>
        <v>16000000000</v>
      </c>
      <c r="U49">
        <f>'Top Level Case Parameters'!T37</f>
        <v>16000000000</v>
      </c>
      <c r="V49">
        <f>'Top Level Case Parameters'!U37</f>
        <v>128000000000</v>
      </c>
      <c r="W49">
        <f>'Top Level Case Parameters'!V37</f>
        <v>3000000000</v>
      </c>
    </row>
    <row r="50" spans="1:23" x14ac:dyDescent="0.55000000000000004">
      <c r="A50" s="143" t="s">
        <v>135</v>
      </c>
      <c r="B50" s="144" t="s">
        <v>26</v>
      </c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  <c r="W50" s="144"/>
    </row>
    <row r="51" spans="1:23" ht="14.7" thickBot="1" x14ac:dyDescent="0.6">
      <c r="A51" s="143"/>
      <c r="B51" s="17" t="s">
        <v>134</v>
      </c>
      <c r="C51" t="str">
        <f>'Top Level Case Parameters'!B$34</f>
        <v>Virtex-5QV</v>
      </c>
      <c r="D51" t="str">
        <f>'Top Level Case Parameters'!C$34</f>
        <v>RTG4</v>
      </c>
      <c r="E51" t="str">
        <f>'Top Level Case Parameters'!D$34</f>
        <v>Polarfire</v>
      </c>
      <c r="F51" t="str">
        <f>'Top Level Case Parameters'!E$34</f>
        <v>Kintex-7Q</v>
      </c>
      <c r="G51" t="str">
        <f>'Top Level Case Parameters'!F$34</f>
        <v>Virtex-7Q</v>
      </c>
      <c r="H51" t="str">
        <f>'Top Level Case Parameters'!G$34</f>
        <v>RT Kintex Ultrascale</v>
      </c>
      <c r="I51" t="str">
        <f>'Top Level Case Parameters'!H$34</f>
        <v>NG-Ultra</v>
      </c>
      <c r="J51" t="str">
        <f>'Top Level Case Parameters'!I$34</f>
        <v>SmartFusion2</v>
      </c>
      <c r="K51" t="str">
        <f>'Top Level Case Parameters'!J$34</f>
        <v>Tegra X1</v>
      </c>
      <c r="L51" t="str">
        <f>'Top Level Case Parameters'!K$34</f>
        <v>RAD5545</v>
      </c>
      <c r="M51" t="str">
        <f>'Top Level Case Parameters'!L$34</f>
        <v>RAD750</v>
      </c>
      <c r="N51" t="str">
        <f>'Top Level Case Parameters'!M$34</f>
        <v>GR740</v>
      </c>
      <c r="O51" t="str">
        <f>'Top Level Case Parameters'!N$34</f>
        <v>GR712RC</v>
      </c>
      <c r="P51" t="str">
        <f>'Top Level Case Parameters'!O$34</f>
        <v>LS1046-Space</v>
      </c>
      <c r="Q51" t="str">
        <f>'Top Level Case Parameters'!P$34</f>
        <v>HPSC</v>
      </c>
      <c r="R51" t="str">
        <f>'Top Level Case Parameters'!Q$34</f>
        <v>E698PM</v>
      </c>
      <c r="S51" t="str">
        <f>'Top Level Case Parameters'!R$34</f>
        <v>RC64</v>
      </c>
      <c r="T51" t="str">
        <f>'Top Level Case Parameters'!S$34</f>
        <v>TI 66AK2Hxx</v>
      </c>
      <c r="U51" t="str">
        <f>'Top Level Case Parameters'!T$34</f>
        <v>SnapDragon 855</v>
      </c>
      <c r="V51" t="str">
        <f>'Top Level Case Parameters'!U$34</f>
        <v>XQR Versal</v>
      </c>
      <c r="W51" t="str">
        <f>'Top Level Case Parameters'!V$34</f>
        <v>HISAOR</v>
      </c>
    </row>
    <row r="52" spans="1:23" x14ac:dyDescent="0.55000000000000004">
      <c r="A52" s="143"/>
      <c r="B52" s="5" t="s">
        <v>31</v>
      </c>
      <c r="C52" s="57">
        <f>IF($N3&gt;C$49,0,MAX($L3/C$47,$O3/C$48)/'Top Level Case Parameters'!$G18)</f>
        <v>1.4700036876190476</v>
      </c>
      <c r="D52" s="58">
        <f>IF($N3&gt;D$49,0,MAX($L3/D$47,$O3/D$48)/'Top Level Case Parameters'!$G18)</f>
        <v>2.0892382188679246</v>
      </c>
      <c r="E52" s="58">
        <f>IF($N3&gt;E$49,0,MAX($L3/E$47,$O3/E$48)/'Top Level Case Parameters'!$G18)</f>
        <v>0.69206015999999992</v>
      </c>
      <c r="F52" s="58">
        <f>IF($N3&gt;F$49,0,MAX($L3/F$47,$O3/F$48)/'Top Level Case Parameters'!$G18)</f>
        <v>0.73819750400000006</v>
      </c>
      <c r="G52" s="58">
        <f>IF($N3&gt;G$49,0,MAX($L3/G$47,$O3/G$48)/'Top Level Case Parameters'!$G18)</f>
        <v>0.36909875200000003</v>
      </c>
      <c r="H52" s="58">
        <f>IF($N3&gt;H$49,0,MAX($L3/H$47,$O3/H$48)/'Top Level Case Parameters'!$G18)</f>
        <v>0.98865737142857146</v>
      </c>
      <c r="I52" s="58">
        <f>IF($N3&gt;I$49,0,MAX($L3/I$47,$O3/I$48)/'Top Level Case Parameters'!$G18)</f>
        <v>1.7716740096000001</v>
      </c>
      <c r="J52" s="58">
        <f>IF($N3&gt;J$49,0,MAX($L3/J$47,$O3/J$48)/'Top Level Case Parameters'!$G18)</f>
        <v>8.2943539775280897</v>
      </c>
      <c r="K52" s="58">
        <f>IF($N3&gt;K$49,0,MAX($L3/K$47,$O3/K$48)/'Top Level Case Parameters'!$G18)</f>
        <v>0.86507520000000004</v>
      </c>
      <c r="L52" s="58">
        <f>IF($N3&gt;L$49,0,MAX($L3/L$47,$O3/L$48)/'Top Level Case Parameters'!$G18)</f>
        <v>44.497408922522524</v>
      </c>
      <c r="M52" s="58">
        <f>IF($N3&gt;M$49,0,MAX($L3/M$47,$O3/M$48)/'Top Level Case Parameters'!$G18)</f>
        <v>823.20206506666671</v>
      </c>
      <c r="N52" s="58">
        <f>IF($N3&gt;N$49,0,MAX($L3/N$47,$O3/N$48)/'Top Level Case Parameters'!$G18)</f>
        <v>164.64041301333333</v>
      </c>
      <c r="O52" s="58">
        <f>IF($N3&gt;O$49,0,MAX($L3/O$47,$O3/O$48)/'Top Level Case Parameters'!$G18)</f>
        <v>823.20206506666671</v>
      </c>
      <c r="P52" s="58">
        <f>IF($N3&gt;P$49,0,MAX($L3/P$47,$O3/P$48)/'Top Level Case Parameters'!$G18)</f>
        <v>2.8583405037037037</v>
      </c>
      <c r="Q52" s="58">
        <f>IF($N3&gt;Q$49,0,MAX($L3/Q$47,$O3/Q$48)/'Top Level Case Parameters'!$G18)</f>
        <v>1.2862532266666666</v>
      </c>
      <c r="R52" s="58">
        <f>IF($N3&gt;R$49,0,MAX($L3/R$47,$O3/R$48)/'Top Level Case Parameters'!$G18)</f>
        <v>182.93379223703704</v>
      </c>
      <c r="S52" s="58">
        <f>IF($N3&gt;S$49,0,MAX($L3/S$47,$O3/S$48)/'Top Level Case Parameters'!$G18)</f>
        <v>7.0866960384000004</v>
      </c>
      <c r="T52" s="58">
        <f>IF($N3&gt;T$49,0,MAX($L3/T$47,$O3/T$48)/'Top Level Case Parameters'!$G18)</f>
        <v>0.76895573333333334</v>
      </c>
      <c r="U52" s="58">
        <f>IF($N3&gt;U$49,0,MAX($L3/U$47,$O3/U$48)/'Top Level Case Parameters'!$G18)</f>
        <v>0.64944061935483866</v>
      </c>
      <c r="V52" s="58">
        <f>IF($N3&gt;V$49,0,MAX($L3/V$47,$O3/V$48)/'Top Level Case Parameters'!$G18)</f>
        <v>0.16283768470588236</v>
      </c>
      <c r="W52" s="59">
        <f>IF($N3&gt;W$49,0,MAX($L3/W$47,$O3/W$48)/'Top Level Case Parameters'!$G18)</f>
        <v>2.5725064533333333</v>
      </c>
    </row>
    <row r="53" spans="1:23" x14ac:dyDescent="0.55000000000000004">
      <c r="A53" s="143"/>
      <c r="B53" s="3" t="s">
        <v>32</v>
      </c>
      <c r="C53" s="60">
        <f>IF($N4&gt;C$49,0,MAX($L4/C$47,$O4/C$48)/'Top Level Case Parameters'!$G19)</f>
        <v>0</v>
      </c>
      <c r="D53" s="55">
        <f>IF($N4&gt;D$49,0,MAX($L4/D$47,$O4/D$48)/'Top Level Case Parameters'!$G19)</f>
        <v>3.3489308176100629</v>
      </c>
      <c r="E53" s="55">
        <f>IF($N4&gt;E$49,0,MAX($L4/E$47,$O4/E$48)/'Top Level Case Parameters'!$G19)</f>
        <v>1.1093333333333333</v>
      </c>
      <c r="F53" s="55">
        <f>IF($N4&gt;F$49,0,MAX($L4/F$47,$O4/F$48)/'Top Level Case Parameters'!$G19)</f>
        <v>1.1832888888888888</v>
      </c>
      <c r="G53" s="55">
        <f>IF($N4&gt;G$49,0,MAX($L4/G$47,$O4/G$48)/'Top Level Case Parameters'!$G19)</f>
        <v>0.59164444444444442</v>
      </c>
      <c r="H53" s="55">
        <f>IF($N4&gt;H$49,0,MAX($L4/H$47,$O4/H$48)/'Top Level Case Parameters'!$G19)</f>
        <v>1.5847619047619048</v>
      </c>
      <c r="I53" s="55">
        <f>IF($N4&gt;I$49,0,MAX($L4/I$47,$O4/I$48)/'Top Level Case Parameters'!$G19)</f>
        <v>2.8398933333333334</v>
      </c>
      <c r="J53" s="55">
        <f>IF($N4&gt;J$49,0,MAX($L4/J$47,$O4/J$48)/'Top Level Case Parameters'!$G19)</f>
        <v>13.295380774032459</v>
      </c>
      <c r="K53" s="55">
        <f>IF($N4&gt;K$49,0,MAX($L4/K$47,$O4/K$48)/'Top Level Case Parameters'!$G19)</f>
        <v>1.3866666666666667</v>
      </c>
      <c r="L53" s="55">
        <f>IF($N4&gt;L$49,0,MAX($L4/L$47,$O4/L$48)/'Top Level Case Parameters'!$G19)</f>
        <v>2.730666666666667</v>
      </c>
      <c r="M53" s="55">
        <f>IF($N4&gt;M$49,0,MAX($L4/M$47,$O4/M$48)/'Top Level Case Parameters'!$G19)</f>
        <v>22.186666666666667</v>
      </c>
      <c r="N53" s="55">
        <f>IF($N4&gt;N$49,0,MAX($L4/N$47,$O4/N$48)/'Top Level Case Parameters'!$G19)</f>
        <v>44.373333333333335</v>
      </c>
      <c r="O53" s="55">
        <f>IF($N4&gt;O$49,0,MAX($L4/O$47,$O4/O$48)/'Top Level Case Parameters'!$G19)</f>
        <v>88.74666666666667</v>
      </c>
      <c r="P53" s="55">
        <f>IF($N4&gt;P$49,0,MAX($L4/P$47,$O4/P$48)/'Top Level Case Parameters'!$G19)</f>
        <v>1.0565079365079366</v>
      </c>
      <c r="Q53" s="55">
        <f>IF($N4&gt;Q$49,0,MAX($L4/Q$47,$O4/Q$48)/'Top Level Case Parameters'!$G19)</f>
        <v>0.69333333333333336</v>
      </c>
      <c r="R53" s="55">
        <f>IF($N4&gt;R$49,0,MAX($L4/R$47,$O4/R$48)/'Top Level Case Parameters'!$G19)</f>
        <v>0</v>
      </c>
      <c r="S53" s="55">
        <f>IF($N4&gt;S$49,0,MAX($L4/S$47,$O4/S$48)/'Top Level Case Parameters'!$G19)</f>
        <v>11.359573333333334</v>
      </c>
      <c r="T53" s="55">
        <f>IF($N4&gt;T$49,0,MAX($L4/T$47,$O4/T$48)/'Top Level Case Parameters'!$G19)</f>
        <v>1.2325925925925925</v>
      </c>
      <c r="U53" s="55">
        <f>IF($N4&gt;U$49,0,MAX($L4/U$47,$O4/U$48)/'Top Level Case Parameters'!$G19)</f>
        <v>1.0410166177908113</v>
      </c>
      <c r="V53" s="55">
        <f>IF($N4&gt;V$49,0,MAX($L4/V$47,$O4/V$48)/'Top Level Case Parameters'!$G19)</f>
        <v>0.26101960784313727</v>
      </c>
      <c r="W53" s="61">
        <f>IF($N4&gt;W$49,0,MAX($L4/W$47,$O4/W$48)/'Top Level Case Parameters'!$G19)</f>
        <v>1.66660406885759</v>
      </c>
    </row>
    <row r="54" spans="1:23" x14ac:dyDescent="0.55000000000000004">
      <c r="A54" s="143"/>
      <c r="B54" s="3" t="s">
        <v>33</v>
      </c>
      <c r="C54" s="60">
        <f>IF($N5&gt;C$49,0,MAX($L5/C$47,$O5/C$48)/'Top Level Case Parameters'!$G20)</f>
        <v>0</v>
      </c>
      <c r="D54" s="55">
        <f>IF($N5&gt;D$49,0,MAX($L5/D$47,$O5/D$48)/'Top Level Case Parameters'!$G20)</f>
        <v>0.16487044025157233</v>
      </c>
      <c r="E54" s="55">
        <f>IF($N5&gt;E$49,0,MAX($L5/E$47,$O5/E$48)/'Top Level Case Parameters'!$G20)</f>
        <v>5.4613333333333333E-2</v>
      </c>
      <c r="F54" s="55">
        <f>IF($N5&gt;F$49,0,MAX($L5/F$47,$O5/F$48)/'Top Level Case Parameters'!$G20)</f>
        <v>5.8254222222222228E-2</v>
      </c>
      <c r="G54" s="55">
        <f>IF($N5&gt;G$49,0,MAX($L5/G$47,$O5/G$48)/'Top Level Case Parameters'!$G20)</f>
        <v>2.9127111111111114E-2</v>
      </c>
      <c r="H54" s="55">
        <f>IF($N5&gt;H$49,0,MAX($L5/H$47,$O5/H$48)/'Top Level Case Parameters'!$G20)</f>
        <v>7.8019047619047613E-2</v>
      </c>
      <c r="I54" s="55">
        <f>IF($N5&gt;I$49,0,MAX($L5/I$47,$O5/I$48)/'Top Level Case Parameters'!$G20)</f>
        <v>0.13981013333333334</v>
      </c>
      <c r="J54" s="55">
        <f>IF($N5&gt;J$49,0,MAX($L5/J$47,$O5/J$48)/'Top Level Case Parameters'!$G20)</f>
        <v>0.654541822721598</v>
      </c>
      <c r="K54" s="55">
        <f>IF($N5&gt;K$49,0,MAX($L5/K$47,$O5/K$48)/'Top Level Case Parameters'!$G20)</f>
        <v>6.826666666666667E-2</v>
      </c>
      <c r="L54" s="55">
        <f>IF($N5&gt;L$49,0,MAX($L5/L$47,$O5/L$48)/'Top Level Case Parameters'!$G20)</f>
        <v>0.13443282051282052</v>
      </c>
      <c r="M54" s="55">
        <f>IF($N5&gt;M$49,0,MAX($L5/M$47,$O5/M$48)/'Top Level Case Parameters'!$G20)</f>
        <v>1.4563555555555554</v>
      </c>
      <c r="N54" s="55">
        <f>IF($N5&gt;N$49,0,MAX($L5/N$47,$O5/N$48)/'Top Level Case Parameters'!$G20)</f>
        <v>2.1845333333333334</v>
      </c>
      <c r="O54" s="55">
        <f>IF($N5&gt;O$49,0,MAX($L5/O$47,$O5/O$48)/'Top Level Case Parameters'!$G20)</f>
        <v>4.3690666666666669</v>
      </c>
      <c r="P54" s="55">
        <f>IF($N5&gt;P$49,0,MAX($L5/P$47,$O5/P$48)/'Top Level Case Parameters'!$G20)</f>
        <v>5.2012698412698413E-2</v>
      </c>
      <c r="Q54" s="55">
        <f>IF($N5&gt;Q$49,0,MAX($L5/Q$47,$O5/Q$48)/'Top Level Case Parameters'!$G20)</f>
        <v>3.4133333333333335E-2</v>
      </c>
      <c r="R54" s="55">
        <f>IF($N5&gt;R$49,0,MAX($L5/R$47,$O5/R$48)/'Top Level Case Parameters'!$G20)</f>
        <v>0</v>
      </c>
      <c r="S54" s="55">
        <f>IF($N5&gt;S$49,0,MAX($L5/S$47,$O5/S$48)/'Top Level Case Parameters'!$G20)</f>
        <v>0.55924053333333335</v>
      </c>
      <c r="T54" s="55">
        <f>IF($N5&gt;T$49,0,MAX($L5/T$47,$O5/T$48)/'Top Level Case Parameters'!$G20)</f>
        <v>6.0681481481481482E-2</v>
      </c>
      <c r="U54" s="55">
        <f>IF($N5&gt;U$49,0,MAX($L5/U$47,$O5/U$48)/'Top Level Case Parameters'!$G20)</f>
        <v>5.1250048875855325E-2</v>
      </c>
      <c r="V54" s="55">
        <f>IF($N5&gt;V$49,0,MAX($L5/V$47,$O5/V$48)/'Top Level Case Parameters'!$G20)</f>
        <v>1.2850196078431374E-2</v>
      </c>
      <c r="W54" s="61">
        <f>IF($N5&gt;W$49,0,MAX($L5/W$47,$O5/W$48)/'Top Level Case Parameters'!$G20)</f>
        <v>8.2048200312989039E-2</v>
      </c>
    </row>
    <row r="55" spans="1:23" x14ac:dyDescent="0.55000000000000004">
      <c r="A55" s="143"/>
      <c r="B55" s="3" t="s">
        <v>34</v>
      </c>
      <c r="C55" s="60">
        <f>IF($N6&gt;C$49,0,MAX($L6/C$47,$O6/C$48)/'Top Level Case Parameters'!$G21)</f>
        <v>0</v>
      </c>
      <c r="D55" s="55">
        <f>IF($N6&gt;D$49,0,MAX($L6/D$47,$O6/D$48)/'Top Level Case Parameters'!$G21)</f>
        <v>6.279245283018868E-3</v>
      </c>
      <c r="E55" s="55">
        <f>IF($N6&gt;E$49,0,MAX($L6/E$47,$O6/E$48)/'Top Level Case Parameters'!$G21)</f>
        <v>2.0799999999999998E-3</v>
      </c>
      <c r="F55" s="55">
        <f>IF($N6&gt;F$49,0,MAX($L6/F$47,$O6/F$48)/'Top Level Case Parameters'!$G21)</f>
        <v>2.2186666666666665E-3</v>
      </c>
      <c r="G55" s="55">
        <f>IF($N6&gt;G$49,0,MAX($L6/G$47,$O6/G$48)/'Top Level Case Parameters'!$G21)</f>
        <v>1.1093333333333333E-3</v>
      </c>
      <c r="H55" s="55">
        <f>IF($N6&gt;H$49,0,MAX($L6/H$47,$O6/H$48)/'Top Level Case Parameters'!$G21)</f>
        <v>2.9714285714285715E-3</v>
      </c>
      <c r="I55" s="55">
        <f>IF($N6&gt;I$49,0,MAX($L6/I$47,$O6/I$48)/'Top Level Case Parameters'!$G21)</f>
        <v>5.3247999999999993E-3</v>
      </c>
      <c r="J55" s="55">
        <f>IF($N6&gt;J$49,0,MAX($L6/J$47,$O6/J$48)/'Top Level Case Parameters'!$G21)</f>
        <v>2.4928838951310862E-2</v>
      </c>
      <c r="K55" s="55">
        <f>IF($N6&gt;K$49,0,MAX($L6/K$47,$O6/K$48)/'Top Level Case Parameters'!$G21)</f>
        <v>2.5999999999999999E-3</v>
      </c>
      <c r="L55" s="55">
        <f>IF($N6&gt;L$49,0,MAX($L6/L$47,$O6/L$48)/'Top Level Case Parameters'!$G21)</f>
        <v>5.1200000000000004E-3</v>
      </c>
      <c r="M55" s="55">
        <f>IF($N6&gt;M$49,0,MAX($L6/M$47,$O6/M$48)/'Top Level Case Parameters'!$G21)</f>
        <v>4.1599999999999998E-2</v>
      </c>
      <c r="N55" s="55">
        <f>IF($N6&gt;N$49,0,MAX($L6/N$47,$O6/N$48)/'Top Level Case Parameters'!$G21)</f>
        <v>8.3199999999999996E-2</v>
      </c>
      <c r="O55" s="55">
        <f>IF($N6&gt;O$49,0,MAX($L6/O$47,$O6/O$48)/'Top Level Case Parameters'!$G21)</f>
        <v>0.16639999999999999</v>
      </c>
      <c r="P55" s="55">
        <f>IF($N6&gt;P$49,0,MAX($L6/P$47,$O6/P$48)/'Top Level Case Parameters'!$G21)</f>
        <v>1.980952380952381E-3</v>
      </c>
      <c r="Q55" s="55">
        <f>IF($N6&gt;Q$49,0,MAX($L6/Q$47,$O6/Q$48)/'Top Level Case Parameters'!$G21)</f>
        <v>1.2999999999999999E-3</v>
      </c>
      <c r="R55" s="55">
        <f>IF($N6&gt;R$49,0,MAX($L6/R$47,$O6/R$48)/'Top Level Case Parameters'!$G21)</f>
        <v>0</v>
      </c>
      <c r="S55" s="55">
        <f>IF($N6&gt;S$49,0,MAX($L6/S$47,$O6/S$48)/'Top Level Case Parameters'!$G21)</f>
        <v>2.1299199999999997E-2</v>
      </c>
      <c r="T55" s="55">
        <f>IF($N6&gt;T$49,0,MAX($L6/T$47,$O6/T$48)/'Top Level Case Parameters'!$G21)</f>
        <v>2.311111111111111E-3</v>
      </c>
      <c r="U55" s="55">
        <f>IF($N6&gt;U$49,0,MAX($L6/U$47,$O6/U$48)/'Top Level Case Parameters'!$G21)</f>
        <v>1.9519061583577713E-3</v>
      </c>
      <c r="V55" s="55">
        <f>IF($N6&gt;V$49,0,MAX($L6/V$47,$O6/V$48)/'Top Level Case Parameters'!$G21)</f>
        <v>4.8941176470588242E-4</v>
      </c>
      <c r="W55" s="61">
        <f>IF($N6&gt;W$49,0,MAX($L6/W$47,$O6/W$48)/'Top Level Case Parameters'!$G21)</f>
        <v>3.1248826291079813E-3</v>
      </c>
    </row>
    <row r="56" spans="1:23" x14ac:dyDescent="0.55000000000000004">
      <c r="A56" s="143"/>
      <c r="B56" s="3" t="s">
        <v>35</v>
      </c>
      <c r="C56" s="60">
        <f>IF($N7&gt;C$49,0,MAX($L7/C$47,$O7/C$48)/'Top Level Case Parameters'!$G22)</f>
        <v>1.95E-6</v>
      </c>
      <c r="D56" s="55">
        <f>IF($N7&gt;D$49,0,MAX($L7/D$47,$O7/D$48)/'Top Level Case Parameters'!$G22)</f>
        <v>2.9433962264150946E-6</v>
      </c>
      <c r="E56" s="55">
        <f>IF($N7&gt;E$49,0,MAX($L7/E$47,$O7/E$48)/'Top Level Case Parameters'!$G22)</f>
        <v>9.7499999999999998E-7</v>
      </c>
      <c r="F56" s="55">
        <f>IF($N7&gt;F$49,0,MAX($L7/F$47,$O7/F$48)/'Top Level Case Parameters'!$G22)</f>
        <v>1.04E-6</v>
      </c>
      <c r="G56" s="55">
        <f>IF($N7&gt;G$49,0,MAX($L7/G$47,$O7/G$48)/'Top Level Case Parameters'!$G22)</f>
        <v>5.2E-7</v>
      </c>
      <c r="H56" s="55">
        <f>IF($N7&gt;H$49,0,MAX($L7/H$47,$O7/H$48)/'Top Level Case Parameters'!$G22)</f>
        <v>1.3928571428571429E-6</v>
      </c>
      <c r="I56" s="55">
        <f>IF($N7&gt;I$49,0,MAX($L7/I$47,$O7/I$48)/'Top Level Case Parameters'!$G22)</f>
        <v>2.4959999999999999E-6</v>
      </c>
      <c r="J56" s="55">
        <f>IF($N7&gt;J$49,0,MAX($L7/J$47,$O7/J$48)/'Top Level Case Parameters'!$G22)</f>
        <v>1.1685393258426966E-5</v>
      </c>
      <c r="K56" s="55">
        <f>IF($N7&gt;K$49,0,MAX($L7/K$47,$O7/K$48)/'Top Level Case Parameters'!$G22)</f>
        <v>1.21875E-6</v>
      </c>
      <c r="L56" s="55">
        <f>IF($N7&gt;L$49,0,MAX($L7/L$47,$O7/L$48)/'Top Level Case Parameters'!$G22)</f>
        <v>2.3999999999999999E-6</v>
      </c>
      <c r="M56" s="55">
        <f>IF($N7&gt;M$49,0,MAX($L7/M$47,$O7/M$48)/'Top Level Case Parameters'!$G22)</f>
        <v>3.8999999999999999E-5</v>
      </c>
      <c r="N56" s="55">
        <f>IF($N7&gt;N$49,0,MAX($L7/N$47,$O7/N$48)/'Top Level Case Parameters'!$G22)</f>
        <v>3.8999999999999999E-5</v>
      </c>
      <c r="O56" s="55">
        <f>IF($N7&gt;O$49,0,MAX($L7/O$47,$O7/O$48)/'Top Level Case Parameters'!$G22)</f>
        <v>7.7999999999999999E-5</v>
      </c>
      <c r="P56" s="55">
        <f>IF($N7&gt;P$49,0,MAX($L7/P$47,$O7/P$48)/'Top Level Case Parameters'!$G22)</f>
        <v>9.2857142857142854E-7</v>
      </c>
      <c r="Q56" s="55">
        <f>IF($N7&gt;Q$49,0,MAX($L7/Q$47,$O7/Q$48)/'Top Level Case Parameters'!$G22)</f>
        <v>6.0937499999999999E-7</v>
      </c>
      <c r="R56" s="55">
        <f>IF($N7&gt;R$49,0,MAX($L7/R$47,$O7/R$48)/'Top Level Case Parameters'!$G22)</f>
        <v>8.6666666666666661E-6</v>
      </c>
      <c r="S56" s="55">
        <f>IF($N7&gt;S$49,0,MAX($L7/S$47,$O7/S$48)/'Top Level Case Parameters'!$G22)</f>
        <v>9.9839999999999996E-6</v>
      </c>
      <c r="T56" s="55">
        <f>IF($N7&gt;T$49,0,MAX($L7/T$47,$O7/T$48)/'Top Level Case Parameters'!$G22)</f>
        <v>1.0833333333333333E-6</v>
      </c>
      <c r="U56" s="55">
        <f>IF($N7&gt;U$49,0,MAX($L7/U$47,$O7/U$48)/'Top Level Case Parameters'!$G22)</f>
        <v>9.149560117302052E-7</v>
      </c>
      <c r="V56" s="55">
        <f>IF($N7&gt;V$49,0,MAX($L7/V$47,$O7/V$48)/'Top Level Case Parameters'!$G22)</f>
        <v>2.2941176470588238E-7</v>
      </c>
      <c r="W56" s="61">
        <f>IF($N7&gt;W$49,0,MAX($L7/W$47,$O7/W$48)/'Top Level Case Parameters'!$G22)</f>
        <v>1.4647887323943662E-6</v>
      </c>
    </row>
    <row r="57" spans="1:23" x14ac:dyDescent="0.55000000000000004">
      <c r="A57" s="143"/>
      <c r="B57" s="3" t="s">
        <v>36</v>
      </c>
      <c r="C57" s="60">
        <f>IF($N8&gt;C$49,0,MAX($L8/C$47,$O8/C$48)/'Top Level Case Parameters'!$G23)</f>
        <v>0</v>
      </c>
      <c r="D57" s="55">
        <f>IF($N8&gt;D$49,0,MAX($L8/D$47,$O8/D$48)/'Top Level Case Parameters'!$G23)</f>
        <v>20.093584905660379</v>
      </c>
      <c r="E57" s="55">
        <f>IF($N8&gt;E$49,0,MAX($L8/E$47,$O8/E$48)/'Top Level Case Parameters'!$G23)</f>
        <v>6.6560000000000006</v>
      </c>
      <c r="F57" s="55">
        <f>IF($N8&gt;F$49,0,MAX($L8/F$47,$O8/F$48)/'Top Level Case Parameters'!$G23)</f>
        <v>7.0997333333333339</v>
      </c>
      <c r="G57" s="55">
        <f>IF($N8&gt;G$49,0,MAX($L8/G$47,$O8/G$48)/'Top Level Case Parameters'!$G23)</f>
        <v>3.5498666666666669</v>
      </c>
      <c r="H57" s="55">
        <f>IF($N8&gt;H$49,0,MAX($L8/H$47,$O8/H$48)/'Top Level Case Parameters'!$G23)</f>
        <v>9.5085714285714289</v>
      </c>
      <c r="I57" s="55">
        <f>IF($N8&gt;I$49,0,MAX($L8/I$47,$O8/I$48)/'Top Level Case Parameters'!$G23)</f>
        <v>17.039359999999999</v>
      </c>
      <c r="J57" s="55">
        <f>IF($N8&gt;J$49,0,MAX($L8/J$47,$O8/J$48)/'Top Level Case Parameters'!$G23)</f>
        <v>79.772284644194755</v>
      </c>
      <c r="K57" s="55">
        <f>IF($N8&gt;K$49,0,MAX($L8/K$47,$O8/K$48)/'Top Level Case Parameters'!$G23)</f>
        <v>8.32</v>
      </c>
      <c r="L57" s="55">
        <f>IF($N8&gt;L$49,0,MAX($L8/L$47,$O8/L$48)/'Top Level Case Parameters'!$G23)</f>
        <v>16.384</v>
      </c>
      <c r="M57" s="55">
        <f>IF($N8&gt;M$49,0,MAX($L8/M$47,$O8/M$48)/'Top Level Case Parameters'!$G23)</f>
        <v>133.12</v>
      </c>
      <c r="N57" s="55">
        <f>IF($N8&gt;N$49,0,MAX($L8/N$47,$O8/N$48)/'Top Level Case Parameters'!$G23)</f>
        <v>266.24</v>
      </c>
      <c r="O57" s="55">
        <f>IF($N8&gt;O$49,0,MAX($L8/O$47,$O8/O$48)/'Top Level Case Parameters'!$G23)</f>
        <v>532.48</v>
      </c>
      <c r="P57" s="55">
        <f>IF($N8&gt;P$49,0,MAX($L8/P$47,$O8/P$48)/'Top Level Case Parameters'!$G23)</f>
        <v>6.3390476190476193</v>
      </c>
      <c r="Q57" s="55">
        <f>IF($N8&gt;Q$49,0,MAX($L8/Q$47,$O8/Q$48)/'Top Level Case Parameters'!$G23)</f>
        <v>4.16</v>
      </c>
      <c r="R57" s="55">
        <f>IF($N8&gt;R$49,0,MAX($L8/R$47,$O8/R$48)/'Top Level Case Parameters'!$G23)</f>
        <v>0</v>
      </c>
      <c r="S57" s="55">
        <f>IF($N8&gt;S$49,0,MAX($L8/S$47,$O8/S$48)/'Top Level Case Parameters'!$G23)</f>
        <v>68.157439999999994</v>
      </c>
      <c r="T57" s="55">
        <f>IF($N8&gt;T$49,0,MAX($L8/T$47,$O8/T$48)/'Top Level Case Parameters'!$G23)</f>
        <v>7.3955555555555552</v>
      </c>
      <c r="U57" s="55">
        <f>IF($N8&gt;U$49,0,MAX($L8/U$47,$O8/U$48)/'Top Level Case Parameters'!$G23)</f>
        <v>6.246099706744868</v>
      </c>
      <c r="V57" s="55">
        <f>IF($N8&gt;V$49,0,MAX($L8/V$47,$O8/V$48)/'Top Level Case Parameters'!$G23)</f>
        <v>1.5661176470588236</v>
      </c>
      <c r="W57" s="61">
        <f>IF($N8&gt;W$49,0,MAX($L8/W$47,$O8/W$48)/'Top Level Case Parameters'!$G23)</f>
        <v>9.9996244131455398</v>
      </c>
    </row>
    <row r="58" spans="1:23" x14ac:dyDescent="0.55000000000000004">
      <c r="A58" s="143"/>
      <c r="B58" s="3" t="s">
        <v>37</v>
      </c>
      <c r="C58" s="60">
        <f>IF($N9&gt;C$49,0,MAX($L9/C$47,$O9/C$48)/'Top Level Case Parameters'!$G24)</f>
        <v>0</v>
      </c>
      <c r="D58" s="55">
        <f>IF($N9&gt;D$49,0,MAX($L9/D$47,$O9/D$48)/'Top Level Case Parameters'!$G24)</f>
        <v>1.2535429313207547</v>
      </c>
      <c r="E58" s="55">
        <f>IF($N9&gt;E$49,0,MAX($L9/E$47,$O9/E$48)/'Top Level Case Parameters'!$G24)</f>
        <v>0.415236096</v>
      </c>
      <c r="F58" s="55">
        <f>IF($N9&gt;F$49,0,MAX($L9/F$47,$O9/F$48)/'Top Level Case Parameters'!$G24)</f>
        <v>0.44291850240000002</v>
      </c>
      <c r="G58" s="55">
        <f>IF($N9&gt;G$49,0,MAX($L9/G$47,$O9/G$48)/'Top Level Case Parameters'!$G24)</f>
        <v>0.22145925120000001</v>
      </c>
      <c r="H58" s="55">
        <f>IF($N9&gt;H$49,0,MAX($L9/H$47,$O9/H$48)/'Top Level Case Parameters'!$G24)</f>
        <v>0.59319442285714286</v>
      </c>
      <c r="I58" s="55">
        <f>IF($N9&gt;I$49,0,MAX($L9/I$47,$O9/I$48)/'Top Level Case Parameters'!$G24)</f>
        <v>1.0630044057600001</v>
      </c>
      <c r="J58" s="55">
        <f>IF($N9&gt;J$49,0,MAX($L9/J$47,$O9/J$48)/'Top Level Case Parameters'!$G24)</f>
        <v>4.9766123865168534</v>
      </c>
      <c r="K58" s="55">
        <f>IF($N9&gt;K$49,0,MAX($L9/K$47,$O9/K$48)/'Top Level Case Parameters'!$G24)</f>
        <v>0.51904511999999992</v>
      </c>
      <c r="L58" s="55">
        <f>IF($N9&gt;L$49,0,MAX($L9/L$47,$O9/L$48)/'Top Level Case Parameters'!$G24)</f>
        <v>1.022119620923077</v>
      </c>
      <c r="M58" s="55">
        <f>IF($N9&gt;M$49,0,MAX($L9/M$47,$O9/M$48)/'Top Level Case Parameters'!$G24)</f>
        <v>15.43503872</v>
      </c>
      <c r="N58" s="55">
        <f>IF($N9&gt;N$49,0,MAX($L9/N$47,$O9/N$48)/'Top Level Case Parameters'!$G24)</f>
        <v>16.609443839999997</v>
      </c>
      <c r="O58" s="55">
        <f>IF($N9&gt;O$49,0,MAX($L9/O$47,$O9/O$48)/'Top Level Case Parameters'!$G24)</f>
        <v>33.218887679999995</v>
      </c>
      <c r="P58" s="55">
        <f>IF($N9&gt;P$49,0,MAX($L9/P$47,$O9/P$48)/'Top Level Case Parameters'!$G24)</f>
        <v>0.39546294857142855</v>
      </c>
      <c r="Q58" s="55">
        <f>IF($N9&gt;Q$49,0,MAX($L9/Q$47,$O9/Q$48)/'Top Level Case Parameters'!$G24)</f>
        <v>0.25952255999999996</v>
      </c>
      <c r="R58" s="55">
        <f>IF($N9&gt;R$49,0,MAX($L9/R$47,$O9/R$48)/'Top Level Case Parameters'!$G24)</f>
        <v>3.4300086044444447</v>
      </c>
      <c r="S58" s="55">
        <f>IF($N9&gt;S$49,0,MAX($L9/S$47,$O9/S$48)/'Top Level Case Parameters'!$G24)</f>
        <v>4.2520176230400004</v>
      </c>
      <c r="T58" s="55">
        <f>IF($N9&gt;T$49,0,MAX($L9/T$47,$O9/T$48)/'Top Level Case Parameters'!$G24)</f>
        <v>0.46137343999999997</v>
      </c>
      <c r="U58" s="55">
        <f>IF($N9&gt;U$49,0,MAX($L9/U$47,$O9/U$48)/'Top Level Case Parameters'!$G24)</f>
        <v>0.38966437161290324</v>
      </c>
      <c r="V58" s="55">
        <f>IF($N9&gt;V$49,0,MAX($L9/V$47,$O9/V$48)/'Top Level Case Parameters'!$G24)</f>
        <v>9.7702610823529421E-2</v>
      </c>
      <c r="W58" s="61">
        <f>IF($N9&gt;W$49,0,MAX($L9/W$47,$O9/W$48)/'Top Level Case Parameters'!$G24)</f>
        <v>0.62382887661971831</v>
      </c>
    </row>
    <row r="59" spans="1:23" x14ac:dyDescent="0.55000000000000004">
      <c r="A59" s="143"/>
      <c r="B59" s="3" t="s">
        <v>38</v>
      </c>
      <c r="C59" s="60">
        <f>IF($N10&gt;C$49,0,MAX($L10/C$47,$O10/C$48)/'Top Level Case Parameters'!$G25)</f>
        <v>0</v>
      </c>
      <c r="D59" s="55">
        <f>IF($N10&gt;D$49,0,MAX($L10/D$47,$O10/D$48)/'Top Level Case Parameters'!$G25)</f>
        <v>11.334842767295598</v>
      </c>
      <c r="E59" s="55">
        <f>IF($N10&gt;E$49,0,MAX($L10/E$47,$O10/E$48)/'Top Level Case Parameters'!$G25)</f>
        <v>3.754666666666667</v>
      </c>
      <c r="F59" s="55">
        <f>IF($N10&gt;F$49,0,MAX($L10/F$47,$O10/F$48)/'Top Level Case Parameters'!$G25)</f>
        <v>4.0049777777777784</v>
      </c>
      <c r="G59" s="55">
        <f>IF($N10&gt;G$49,0,MAX($L10/G$47,$O10/G$48)/'Top Level Case Parameters'!$G25)</f>
        <v>2.0024888888888892</v>
      </c>
      <c r="H59" s="55">
        <f>IF($N10&gt;H$49,0,MAX($L10/H$47,$O10/H$48)/'Top Level Case Parameters'!$G25)</f>
        <v>5.3638095238095245</v>
      </c>
      <c r="I59" s="55">
        <f>IF($N10&gt;I$49,0,MAX($L10/I$47,$O10/I$48)/'Top Level Case Parameters'!$G25)</f>
        <v>9.6119466666666682</v>
      </c>
      <c r="J59" s="55">
        <f>IF($N10&gt;J$49,0,MAX($L10/J$47,$O10/J$48)/'Top Level Case Parameters'!$G25)</f>
        <v>44.99975031210986</v>
      </c>
      <c r="K59" s="55">
        <f>IF($N10&gt;K$49,0,MAX($L10/K$47,$O10/K$48)/'Top Level Case Parameters'!$G25)</f>
        <v>4.6933333333333334</v>
      </c>
      <c r="L59" s="55">
        <f>IF($N10&gt;L$49,0,MAX($L10/L$47,$O10/L$48)/'Top Level Case Parameters'!$G25)</f>
        <v>9.2422564102564095</v>
      </c>
      <c r="M59" s="55">
        <f>IF($N10&gt;M$49,0,MAX($L10/M$47,$O10/M$48)/'Top Level Case Parameters'!$G25)</f>
        <v>96.938666666666663</v>
      </c>
      <c r="N59" s="55">
        <f>IF($N10&gt;N$49,0,MAX($L10/N$47,$O10/N$48)/'Top Level Case Parameters'!$G25)</f>
        <v>150.18666666666667</v>
      </c>
      <c r="O59" s="55">
        <f>IF($N10&gt;O$49,0,MAX($L10/O$47,$O10/O$48)/'Top Level Case Parameters'!$G25)</f>
        <v>300.37333333333333</v>
      </c>
      <c r="P59" s="55">
        <f>IF($N10&gt;P$49,0,MAX($L10/P$47,$O10/P$48)/'Top Level Case Parameters'!$G25)</f>
        <v>3.5758730158730163</v>
      </c>
      <c r="Q59" s="55">
        <f>IF($N10&gt;Q$49,0,MAX($L10/Q$47,$O10/Q$48)/'Top Level Case Parameters'!$G25)</f>
        <v>2.3466666666666667</v>
      </c>
      <c r="R59" s="55">
        <f>IF($N10&gt;R$49,0,MAX($L10/R$47,$O10/R$48)/'Top Level Case Parameters'!$G25)</f>
        <v>25.031111111111112</v>
      </c>
      <c r="S59" s="55">
        <f>IF($N10&gt;S$49,0,MAX($L10/S$47,$O10/S$48)/'Top Level Case Parameters'!$G25)</f>
        <v>38.447786666666673</v>
      </c>
      <c r="T59" s="55">
        <f>IF($N10&gt;T$49,0,MAX($L10/T$47,$O10/T$48)/'Top Level Case Parameters'!$G25)</f>
        <v>4.1718518518518524</v>
      </c>
      <c r="U59" s="55">
        <f>IF($N10&gt;U$49,0,MAX($L10/U$47,$O10/U$48)/'Top Level Case Parameters'!$G25)</f>
        <v>3.5234408602150542</v>
      </c>
      <c r="V59" s="55">
        <f>IF($N10&gt;V$49,0,MAX($L10/V$47,$O10/V$48)/'Top Level Case Parameters'!$G25)</f>
        <v>0.88345098039215686</v>
      </c>
      <c r="W59" s="61">
        <f>IF($N10&gt;W$49,0,MAX($L10/W$47,$O10/W$48)/'Top Level Case Parameters'!$G25)</f>
        <v>5.6408137715179976</v>
      </c>
    </row>
    <row r="60" spans="1:23" x14ac:dyDescent="0.55000000000000004">
      <c r="A60" s="143"/>
      <c r="B60" s="3" t="s">
        <v>39</v>
      </c>
      <c r="C60" s="60">
        <f>IF($N11&gt;C$49,0,MAX($L11/C$47,$O11/C$48)/'Top Level Case Parameters'!$G26)</f>
        <v>0</v>
      </c>
      <c r="D60" s="55">
        <f>IF($N11&gt;D$49,0,MAX($L11/D$47,$O11/D$48)/'Top Level Case Parameters'!$G26)</f>
        <v>6.279245283018868E-3</v>
      </c>
      <c r="E60" s="55">
        <f>IF($N11&gt;E$49,0,MAX($L11/E$47,$O11/E$48)/'Top Level Case Parameters'!$G26)</f>
        <v>2.0799999999999998E-3</v>
      </c>
      <c r="F60" s="55">
        <f>IF($N11&gt;F$49,0,MAX($L11/F$47,$O11/F$48)/'Top Level Case Parameters'!$G26)</f>
        <v>2.2186666666666665E-3</v>
      </c>
      <c r="G60" s="55">
        <f>IF($N11&gt;G$49,0,MAX($L11/G$47,$O11/G$48)/'Top Level Case Parameters'!$G26)</f>
        <v>1.1093333333333333E-3</v>
      </c>
      <c r="H60" s="55">
        <f>IF($N11&gt;H$49,0,MAX($L11/H$47,$O11/H$48)/'Top Level Case Parameters'!$G26)</f>
        <v>2.9714285714285715E-3</v>
      </c>
      <c r="I60" s="55">
        <f>IF($N11&gt;I$49,0,MAX($L11/I$47,$O11/I$48)/'Top Level Case Parameters'!$G26)</f>
        <v>5.3247999999999993E-3</v>
      </c>
      <c r="J60" s="55">
        <f>IF($N11&gt;J$49,0,MAX($L11/J$47,$O11/J$48)/'Top Level Case Parameters'!$G26)</f>
        <v>2.4928838951310862E-2</v>
      </c>
      <c r="K60" s="55">
        <f>IF($N11&gt;K$49,0,MAX($L11/K$47,$O11/K$48)/'Top Level Case Parameters'!$G26)</f>
        <v>2.5999999999999999E-3</v>
      </c>
      <c r="L60" s="55">
        <f>IF($N11&gt;L$49,0,MAX($L11/L$47,$O11/L$48)/'Top Level Case Parameters'!$G26)</f>
        <v>5.1200000000000004E-3</v>
      </c>
      <c r="M60" s="55">
        <f>IF($N11&gt;M$49,0,MAX($L11/M$47,$O11/M$48)/'Top Level Case Parameters'!$G26)</f>
        <v>4.1599999999999998E-2</v>
      </c>
      <c r="N60" s="55">
        <f>IF($N11&gt;N$49,0,MAX($L11/N$47,$O11/N$48)/'Top Level Case Parameters'!$G26)</f>
        <v>8.3199999999999996E-2</v>
      </c>
      <c r="O60" s="55">
        <f>IF($N11&gt;O$49,0,MAX($L11/O$47,$O11/O$48)/'Top Level Case Parameters'!$G26)</f>
        <v>0.16639999999999999</v>
      </c>
      <c r="P60" s="55">
        <f>IF($N11&gt;P$49,0,MAX($L11/P$47,$O11/P$48)/'Top Level Case Parameters'!$G26)</f>
        <v>1.980952380952381E-3</v>
      </c>
      <c r="Q60" s="55">
        <f>IF($N11&gt;Q$49,0,MAX($L11/Q$47,$O11/Q$48)/'Top Level Case Parameters'!$G26)</f>
        <v>1.2999999999999999E-3</v>
      </c>
      <c r="R60" s="55">
        <f>IF($N11&gt;R$49,0,MAX($L11/R$47,$O11/R$48)/'Top Level Case Parameters'!$G26)</f>
        <v>0</v>
      </c>
      <c r="S60" s="55">
        <f>IF($N11&gt;S$49,0,MAX($L11/S$47,$O11/S$48)/'Top Level Case Parameters'!$G26)</f>
        <v>2.1299199999999997E-2</v>
      </c>
      <c r="T60" s="55">
        <f>IF($N11&gt;T$49,0,MAX($L11/T$47,$O11/T$48)/'Top Level Case Parameters'!$G26)</f>
        <v>2.311111111111111E-3</v>
      </c>
      <c r="U60" s="55">
        <f>IF($N11&gt;U$49,0,MAX($L11/U$47,$O11/U$48)/'Top Level Case Parameters'!$G26)</f>
        <v>1.9519061583577713E-3</v>
      </c>
      <c r="V60" s="55">
        <f>IF($N11&gt;V$49,0,MAX($L11/V$47,$O11/V$48)/'Top Level Case Parameters'!$G26)</f>
        <v>4.8941176470588242E-4</v>
      </c>
      <c r="W60" s="61">
        <f>IF($N11&gt;W$49,0,MAX($L11/W$47,$O11/W$48)/'Top Level Case Parameters'!$G26)</f>
        <v>3.1248826291079813E-3</v>
      </c>
    </row>
    <row r="61" spans="1:23" x14ac:dyDescent="0.55000000000000004">
      <c r="A61" s="143"/>
      <c r="B61" s="3" t="s">
        <v>40</v>
      </c>
      <c r="C61" s="60">
        <f>IF($N12&gt;C$49,0,MAX($L12/C$47,$O12/C$48)/'Top Level Case Parameters'!$G27)</f>
        <v>1.95E-6</v>
      </c>
      <c r="D61" s="55">
        <f>IF($N12&gt;D$49,0,MAX($L12/D$47,$O12/D$48)/'Top Level Case Parameters'!$G27)</f>
        <v>2.9433962264150946E-6</v>
      </c>
      <c r="E61" s="55">
        <f>IF($N12&gt;E$49,0,MAX($L12/E$47,$O12/E$48)/'Top Level Case Parameters'!$G27)</f>
        <v>9.7499999999999998E-7</v>
      </c>
      <c r="F61" s="55">
        <f>IF($N12&gt;F$49,0,MAX($L12/F$47,$O12/F$48)/'Top Level Case Parameters'!$G27)</f>
        <v>1.04E-6</v>
      </c>
      <c r="G61" s="55">
        <f>IF($N12&gt;G$49,0,MAX($L12/G$47,$O12/G$48)/'Top Level Case Parameters'!$G27)</f>
        <v>5.2E-7</v>
      </c>
      <c r="H61" s="55">
        <f>IF($N12&gt;H$49,0,MAX($L12/H$47,$O12/H$48)/'Top Level Case Parameters'!$G27)</f>
        <v>1.3928571428571429E-6</v>
      </c>
      <c r="I61" s="55">
        <f>IF($N12&gt;I$49,0,MAX($L12/I$47,$O12/I$48)/'Top Level Case Parameters'!$G27)</f>
        <v>2.4959999999999999E-6</v>
      </c>
      <c r="J61" s="55">
        <f>IF($N12&gt;J$49,0,MAX($L12/J$47,$O12/J$48)/'Top Level Case Parameters'!$G27)</f>
        <v>1.1685393258426966E-5</v>
      </c>
      <c r="K61" s="55">
        <f>IF($N12&gt;K$49,0,MAX($L12/K$47,$O12/K$48)/'Top Level Case Parameters'!$G27)</f>
        <v>1.21875E-6</v>
      </c>
      <c r="L61" s="55">
        <f>IF($N12&gt;L$49,0,MAX($L12/L$47,$O12/L$48)/'Top Level Case Parameters'!$G27)</f>
        <v>5.7619755255062041E-5</v>
      </c>
      <c r="M61" s="55">
        <f>IF($N12&gt;M$49,0,MAX($L12/M$47,$O12/M$48)/'Top Level Case Parameters'!$G27)</f>
        <v>1.0659654722186477E-3</v>
      </c>
      <c r="N61" s="55">
        <f>IF($N12&gt;N$49,0,MAX($L12/N$47,$O12/N$48)/'Top Level Case Parameters'!$G27)</f>
        <v>2.1319309444372956E-4</v>
      </c>
      <c r="O61" s="55">
        <f>IF($N12&gt;O$49,0,MAX($L12/O$47,$O12/O$48)/'Top Level Case Parameters'!$G27)</f>
        <v>1.0659654722186477E-3</v>
      </c>
      <c r="P61" s="55">
        <f>IF($N12&gt;P$49,0,MAX($L12/P$47,$O12/P$48)/'Top Level Case Parameters'!$G27)</f>
        <v>3.7012690007591938E-6</v>
      </c>
      <c r="Q61" s="55">
        <f>IF($N12&gt;Q$49,0,MAX($L12/Q$47,$O12/Q$48)/'Top Level Case Parameters'!$G27)</f>
        <v>1.6655710503416372E-6</v>
      </c>
      <c r="R61" s="55">
        <f>IF($N12&gt;R$49,0,MAX($L12/R$47,$O12/R$48)/'Top Level Case Parameters'!$G27)</f>
        <v>2.368812160485884E-4</v>
      </c>
      <c r="S61" s="55">
        <f>IF($N12&gt;S$49,0,MAX($L12/S$47,$O12/S$48)/'Top Level Case Parameters'!$G27)</f>
        <v>9.9839999999999996E-6</v>
      </c>
      <c r="T61" s="55">
        <f>IF($N12&gt;T$49,0,MAX($L12/T$47,$O12/T$48)/'Top Level Case Parameters'!$G27)</f>
        <v>1.0833333333333333E-6</v>
      </c>
      <c r="U61" s="55">
        <f>IF($N12&gt;U$49,0,MAX($L12/U$47,$O12/U$48)/'Top Level Case Parameters'!$G27)</f>
        <v>9.149560117302052E-7</v>
      </c>
      <c r="V61" s="55">
        <f>IF($N12&gt;V$49,0,MAX($L12/V$47,$O12/V$48)/'Top Level Case Parameters'!$G27)</f>
        <v>2.2941176470588238E-7</v>
      </c>
      <c r="W61" s="61">
        <f>IF($N12&gt;W$49,0,MAX($L12/W$47,$O12/W$48)/'Top Level Case Parameters'!$G27)</f>
        <v>3.3311421006832744E-6</v>
      </c>
    </row>
    <row r="62" spans="1:23" x14ac:dyDescent="0.55000000000000004">
      <c r="A62" s="143"/>
      <c r="B62" t="s">
        <v>133</v>
      </c>
      <c r="C62" s="60">
        <f>IF($N13&gt;C$49,0,MAX($L13/C$47,$O13/C$48)/'Top Level Case Parameters'!$G28)</f>
        <v>0</v>
      </c>
      <c r="D62" s="55">
        <f>IF($N13&gt;D$49,0,MAX($L13/D$47,$O13/D$48)/'Top Level Case Parameters'!$G28)</f>
        <v>33.489308176100629</v>
      </c>
      <c r="E62" s="55">
        <f>IF($N13&gt;E$49,0,MAX($L13/E$47,$O13/E$48)/'Top Level Case Parameters'!$G28)</f>
        <v>11.093333333333334</v>
      </c>
      <c r="F62" s="55">
        <f>IF($N13&gt;F$49,0,MAX($L13/F$47,$O13/F$48)/'Top Level Case Parameters'!$G28)</f>
        <v>11.83288888888889</v>
      </c>
      <c r="G62" s="55">
        <f>IF($N13&gt;G$49,0,MAX($L13/G$47,$O13/G$48)/'Top Level Case Parameters'!$G28)</f>
        <v>5.9164444444444451</v>
      </c>
      <c r="H62" s="55">
        <f>IF($N13&gt;H$49,0,MAX($L13/H$47,$O13/H$48)/'Top Level Case Parameters'!$G28)</f>
        <v>15.847619047619048</v>
      </c>
      <c r="I62" s="55">
        <f>IF($N13&gt;I$49,0,MAX($L13/I$47,$O13/I$48)/'Top Level Case Parameters'!$G28)</f>
        <v>28.398933333333336</v>
      </c>
      <c r="J62" s="55">
        <f>IF($N13&gt;J$49,0,MAX($L13/J$47,$O13/J$48)/'Top Level Case Parameters'!$G28)</f>
        <v>132.95380774032461</v>
      </c>
      <c r="K62" s="55">
        <f>IF($N13&gt;K$49,0,MAX($L13/K$47,$O13/K$48)/'Top Level Case Parameters'!$G28)</f>
        <v>0</v>
      </c>
      <c r="L62" s="55">
        <f>IF($N13&gt;L$49,0,MAX($L13/L$47,$O13/L$48)/'Top Level Case Parameters'!$G28)</f>
        <v>28.7827027027027</v>
      </c>
      <c r="M62" s="55">
        <f>IF($N13&gt;M$49,0,MAX($L13/M$47,$O13/M$48)/'Top Level Case Parameters'!$G28)</f>
        <v>0</v>
      </c>
      <c r="N62" s="55">
        <f>IF($N13&gt;N$49,0,MAX($L13/N$47,$O13/N$48)/'Top Level Case Parameters'!$G28)</f>
        <v>0</v>
      </c>
      <c r="O62" s="55">
        <f>IF($N13&gt;O$49,0,MAX($L13/O$47,$O13/O$48)/'Top Level Case Parameters'!$G28)</f>
        <v>0</v>
      </c>
      <c r="P62" s="55">
        <f>IF($N13&gt;P$49,0,MAX($L13/P$47,$O13/P$48)/'Top Level Case Parameters'!$G28)</f>
        <v>10.565079365079365</v>
      </c>
      <c r="Q62" s="55">
        <f>IF($N13&gt;Q$49,0,MAX($L13/Q$47,$O13/Q$48)/'Top Level Case Parameters'!$G28)</f>
        <v>6.9333333333333336</v>
      </c>
      <c r="R62" s="55">
        <f>IF($N13&gt;R$49,0,MAX($L13/R$47,$O13/R$48)/'Top Level Case Parameters'!$G28)</f>
        <v>0</v>
      </c>
      <c r="S62" s="55">
        <f>IF($N13&gt;S$49,0,MAX($L13/S$47,$O13/S$48)/'Top Level Case Parameters'!$G28)</f>
        <v>113.59573333333334</v>
      </c>
      <c r="T62" s="55">
        <f>IF($N13&gt;T$49,0,MAX($L13/T$47,$O13/T$48)/'Top Level Case Parameters'!$G28)</f>
        <v>12.325925925925926</v>
      </c>
      <c r="U62" s="55">
        <f>IF($N13&gt;U$49,0,MAX($L13/U$47,$O13/U$48)/'Top Level Case Parameters'!$G28)</f>
        <v>10.410166177908113</v>
      </c>
      <c r="V62" s="55">
        <f>IF($N13&gt;V$49,0,MAX($L13/V$47,$O13/V$48)/'Top Level Case Parameters'!$G28)</f>
        <v>2.6101960784313722</v>
      </c>
      <c r="W62" s="61">
        <f>IF($N13&gt;W$49,0,MAX($L13/W$47,$O13/W$48)/'Top Level Case Parameters'!$G28)</f>
        <v>0</v>
      </c>
    </row>
    <row r="63" spans="1:23" ht="14.7" thickBot="1" x14ac:dyDescent="0.6">
      <c r="A63" s="143"/>
      <c r="B63" s="8" t="s">
        <v>42</v>
      </c>
      <c r="C63" s="62">
        <f>IF($N14&gt;C$49,0,MAX($L14/C$47,$O14/C$48)/'Top Level Case Parameters'!$G29)</f>
        <v>0</v>
      </c>
      <c r="D63" s="63">
        <f>IF($N14&gt;D$49,0,MAX($L14/D$47,$O14/D$48)/'Top Level Case Parameters'!$G29)</f>
        <v>33.293524528301887</v>
      </c>
      <c r="E63" s="63">
        <f>IF($N14&gt;E$49,0,MAX($L14/E$47,$O14/E$48)/'Top Level Case Parameters'!$G29)</f>
        <v>11.02848</v>
      </c>
      <c r="F63" s="63">
        <f>IF($N14&gt;F$49,0,MAX($L14/F$47,$O14/F$48)/'Top Level Case Parameters'!$G29)</f>
        <v>11.763712</v>
      </c>
      <c r="G63" s="63">
        <f>IF($N14&gt;G$49,0,MAX($L14/G$47,$O14/G$48)/'Top Level Case Parameters'!$G29)</f>
        <v>5.881856</v>
      </c>
      <c r="H63" s="63">
        <f>IF($N14&gt;H$49,0,MAX($L14/H$47,$O14/H$48)/'Top Level Case Parameters'!$G29)</f>
        <v>15.754971428571428</v>
      </c>
      <c r="I63" s="63">
        <f>IF($N14&gt;I$49,0,MAX($L14/I$47,$O14/I$48)/'Top Level Case Parameters'!$G29)</f>
        <v>28.232908800000001</v>
      </c>
      <c r="J63" s="63">
        <f>IF($N14&gt;J$49,0,MAX($L14/J$47,$O14/J$48)/'Top Level Case Parameters'!$G29)</f>
        <v>132.1765393258427</v>
      </c>
      <c r="K63" s="63">
        <f>IF($N14&gt;K$49,0,MAX($L14/K$47,$O14/K$48)/'Top Level Case Parameters'!$G29)</f>
        <v>13.785599999999999</v>
      </c>
      <c r="L63" s="63">
        <f>IF($N14&gt;L$49,0,MAX($L14/L$47,$O14/L$48)/'Top Level Case Parameters'!$G29)</f>
        <v>27.147027692307692</v>
      </c>
      <c r="M63" s="63">
        <f>IF($N14&gt;M$49,0,MAX($L14/M$47,$O14/M$48)/'Top Level Case Parameters'!$G29)</f>
        <v>294.09280000000001</v>
      </c>
      <c r="N63" s="63">
        <f>IF($N14&gt;N$49,0,MAX($L14/N$47,$O14/N$48)/'Top Level Case Parameters'!$G29)</f>
        <v>441.13919999999996</v>
      </c>
      <c r="O63" s="63">
        <f>IF($N14&gt;O$49,0,MAX($L14/O$47,$O14/O$48)/'Top Level Case Parameters'!$G29)</f>
        <v>882.27839999999992</v>
      </c>
      <c r="P63" s="63">
        <f>IF($N14&gt;P$49,0,MAX($L14/P$47,$O14/P$48)/'Top Level Case Parameters'!$G29)</f>
        <v>10.503314285714287</v>
      </c>
      <c r="Q63" s="63">
        <f>IF($N14&gt;Q$49,0,MAX($L14/Q$47,$O14/Q$48)/'Top Level Case Parameters'!$G29)</f>
        <v>6.8927999999999994</v>
      </c>
      <c r="R63" s="63">
        <f>IF($N14&gt;R$49,0,MAX($L14/R$47,$O14/R$48)/'Top Level Case Parameters'!$G29)</f>
        <v>73.523200000000003</v>
      </c>
      <c r="S63" s="63">
        <f>IF($N14&gt;S$49,0,MAX($L14/S$47,$O14/S$48)/'Top Level Case Parameters'!$G29)</f>
        <v>112.9316352</v>
      </c>
      <c r="T63" s="63">
        <f>IF($N14&gt;T$49,0,MAX($L14/T$47,$O14/T$48)/'Top Level Case Parameters'!$G29)</f>
        <v>12.253866666666667</v>
      </c>
      <c r="U63" s="63">
        <f>IF($N14&gt;U$49,0,MAX($L14/U$47,$O14/U$48)/'Top Level Case Parameters'!$G29)</f>
        <v>10.349306744868036</v>
      </c>
      <c r="V63" s="63">
        <f>IF($N14&gt;V$49,0,MAX($L14/V$47,$O14/V$48)/'Top Level Case Parameters'!$G29)</f>
        <v>2.5949364705882352</v>
      </c>
      <c r="W63" s="64">
        <f>IF($N14&gt;W$49,0,MAX($L14/W$47,$O14/W$48)/'Top Level Case Parameters'!$G29)</f>
        <v>16.568608450704225</v>
      </c>
    </row>
    <row r="64" spans="1:23" x14ac:dyDescent="0.55000000000000004">
      <c r="A64" s="143"/>
      <c r="B64" s="3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</row>
    <row r="65" spans="1:23" x14ac:dyDescent="0.55000000000000004">
      <c r="A65" s="143"/>
      <c r="B65" s="144" t="s">
        <v>141</v>
      </c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  <c r="T65" s="144"/>
      <c r="U65" s="144"/>
      <c r="V65" s="144"/>
      <c r="W65" s="144"/>
    </row>
    <row r="66" spans="1:23" ht="14.7" thickBot="1" x14ac:dyDescent="0.6">
      <c r="A66" s="143"/>
      <c r="B66" s="17" t="s">
        <v>134</v>
      </c>
      <c r="C66" t="str">
        <f>'Top Level Case Parameters'!B$34</f>
        <v>Virtex-5QV</v>
      </c>
      <c r="D66" t="str">
        <f>'Top Level Case Parameters'!C$34</f>
        <v>RTG4</v>
      </c>
      <c r="E66" t="str">
        <f>'Top Level Case Parameters'!D$34</f>
        <v>Polarfire</v>
      </c>
      <c r="F66" t="str">
        <f>'Top Level Case Parameters'!E$34</f>
        <v>Kintex-7Q</v>
      </c>
      <c r="G66" t="str">
        <f>'Top Level Case Parameters'!F$34</f>
        <v>Virtex-7Q</v>
      </c>
      <c r="H66" t="str">
        <f>'Top Level Case Parameters'!G$34</f>
        <v>RT Kintex Ultrascale</v>
      </c>
      <c r="I66" t="str">
        <f>'Top Level Case Parameters'!H$34</f>
        <v>NG-Ultra</v>
      </c>
      <c r="J66" t="str">
        <f>'Top Level Case Parameters'!I$34</f>
        <v>SmartFusion2</v>
      </c>
      <c r="K66" t="str">
        <f>'Top Level Case Parameters'!J$34</f>
        <v>Tegra X1</v>
      </c>
      <c r="L66" t="str">
        <f>'Top Level Case Parameters'!K$34</f>
        <v>RAD5545</v>
      </c>
      <c r="M66" t="str">
        <f>'Top Level Case Parameters'!L$34</f>
        <v>RAD750</v>
      </c>
      <c r="N66" t="str">
        <f>'Top Level Case Parameters'!M$34</f>
        <v>GR740</v>
      </c>
      <c r="O66" t="str">
        <f>'Top Level Case Parameters'!N$34</f>
        <v>GR712RC</v>
      </c>
      <c r="P66" t="str">
        <f>'Top Level Case Parameters'!O$34</f>
        <v>LS1046-Space</v>
      </c>
      <c r="Q66" t="str">
        <f>'Top Level Case Parameters'!P$34</f>
        <v>HPSC</v>
      </c>
      <c r="R66" t="str">
        <f>'Top Level Case Parameters'!Q$34</f>
        <v>E698PM</v>
      </c>
      <c r="S66" t="str">
        <f>'Top Level Case Parameters'!R$34</f>
        <v>RC64</v>
      </c>
      <c r="T66" t="str">
        <f>'Top Level Case Parameters'!S$34</f>
        <v>TI 66AK2Hxx</v>
      </c>
      <c r="U66" t="str">
        <f>'Top Level Case Parameters'!T$34</f>
        <v>SnapDragon 855</v>
      </c>
      <c r="V66" t="str">
        <f>'Top Level Case Parameters'!U$34</f>
        <v>XQR Versal</v>
      </c>
      <c r="W66" t="str">
        <f>'Top Level Case Parameters'!V$34</f>
        <v>HISAOR</v>
      </c>
    </row>
    <row r="67" spans="1:23" ht="14.7" thickBot="1" x14ac:dyDescent="0.6">
      <c r="A67" s="143"/>
      <c r="B67" s="5" t="s">
        <v>31</v>
      </c>
      <c r="C67" s="57">
        <f>IF($AD3&gt;C$49,0,MAX($AB3/C$47,$AE3/C$48)/'Top Level Case Parameters'!$D18)</f>
        <v>0</v>
      </c>
      <c r="D67" s="57">
        <f>IF($AD3&gt;D$49,0,MAX($AB3/D$47,$AE3/D$48)/'Top Level Case Parameters'!$D18)</f>
        <v>36.56166883018868</v>
      </c>
      <c r="E67" s="57">
        <f>IF($AD3&gt;E$49,0,MAX($AB3/E$47,$AE3/E$48)/'Top Level Case Parameters'!$D18)</f>
        <v>12.111052800000001</v>
      </c>
      <c r="F67" s="57">
        <f>IF($AD3&gt;F$49,0,MAX($AB3/F$47,$AE3/F$48)/'Top Level Case Parameters'!$D18)</f>
        <v>12.918456320000001</v>
      </c>
      <c r="G67" s="57">
        <f>IF($AD3&gt;G$49,0,MAX($AB3/G$47,$AE3/G$48)/'Top Level Case Parameters'!$D18)</f>
        <v>6.4592281600000003</v>
      </c>
      <c r="H67" s="57">
        <f>IF($AD3&gt;H$49,0,MAX($AB3/H$47,$AE3/H$48)/'Top Level Case Parameters'!$D18)</f>
        <v>17.301504000000001</v>
      </c>
      <c r="I67" s="57">
        <f>IF($AD3&gt;I$49,0,MAX($AB3/I$47,$AE3/I$48)/'Top Level Case Parameters'!$D18)</f>
        <v>31.004295168000002</v>
      </c>
      <c r="J67" s="57">
        <f>IF($AD3&gt;J$49,0,MAX($AB3/J$47,$AE3/J$48)/'Top Level Case Parameters'!$D18)</f>
        <v>145.15119460674157</v>
      </c>
      <c r="K67" s="57">
        <f>IF($AD3&gt;K$49,0,MAX($AB3/K$47,$AE3/K$48)/'Top Level Case Parameters'!$D18)</f>
        <v>15.138816</v>
      </c>
      <c r="L67" s="57">
        <f>IF($AD3&gt;L$49,0,MAX($AB3/L$47,$AE3/L$48)/'Top Level Case Parameters'!$D18)</f>
        <v>1218.8420704864866</v>
      </c>
      <c r="M67" s="57">
        <f>IF($AD3&gt;M$49,0,MAX($AB3/M$47,$AE3/M$48)/'Top Level Case Parameters'!$D18)</f>
        <v>22548.578303999999</v>
      </c>
      <c r="N67" s="57">
        <f>IF($AD3&gt;N$49,0,MAX($AB3/N$47,$AE3/N$48)/'Top Level Case Parameters'!$D18)</f>
        <v>4509.7156608000005</v>
      </c>
      <c r="O67" s="57">
        <f>IF($AD3&gt;O$49,0,MAX($AB3/O$47,$AE3/O$48)/'Top Level Case Parameters'!$D18)</f>
        <v>22548.578303999999</v>
      </c>
      <c r="P67" s="57">
        <f>IF($AD3&gt;P$49,0,MAX($AB3/P$47,$AE3/P$48)/'Top Level Case Parameters'!$D18)</f>
        <v>78.293674666666661</v>
      </c>
      <c r="Q67" s="57">
        <f>IF($AD3&gt;Q$49,0,MAX($AB3/Q$47,$AE3/Q$48)/'Top Level Case Parameters'!$D18)</f>
        <v>35.232153600000004</v>
      </c>
      <c r="R67" s="57">
        <f>IF($AD3&gt;R$49,0,MAX($AB3/R$47,$AE3/R$48)/'Top Level Case Parameters'!$D18)</f>
        <v>5010.7951786666663</v>
      </c>
      <c r="S67" s="57">
        <f>IF($AD3&gt;S$49,0,MAX($AB3/S$47,$AE3/S$48)/'Top Level Case Parameters'!$D18)</f>
        <v>180.388626432</v>
      </c>
      <c r="T67" s="57">
        <f>IF($AD3&gt;T$49,0,MAX($AB3/T$47,$AE3/T$48)/'Top Level Case Parameters'!$D18)</f>
        <v>13.456725333333333</v>
      </c>
      <c r="U67" s="57">
        <f>IF($AD3&gt;U$49,0,MAX($AB3/U$47,$AE3/U$48)/'Top Level Case Parameters'!$D18)</f>
        <v>11.365210838709677</v>
      </c>
      <c r="V67" s="57">
        <f>IF($AD3&gt;V$49,0,MAX($AB3/V$47,$AE3/V$48)/'Top Level Case Parameters'!$D18)</f>
        <v>2.8496594823529411</v>
      </c>
      <c r="W67" s="57">
        <f>IF($AD3&gt;W$49,0,MAX($AB3/W$47,$AE3/W$48)/'Top Level Case Parameters'!$D18)</f>
        <v>70.464307200000007</v>
      </c>
    </row>
    <row r="68" spans="1:23" ht="14.7" thickBot="1" x14ac:dyDescent="0.6">
      <c r="A68" s="143"/>
      <c r="B68" s="3" t="s">
        <v>32</v>
      </c>
      <c r="C68" s="57">
        <f>IF($AD4&gt;C$49,0,MAX($AB4/C$47,$AE4/C$48)/'Top Level Case Parameters'!$D19)</f>
        <v>0</v>
      </c>
      <c r="D68" s="57">
        <f>IF($AD4&gt;D$49,0,MAX($AB4/D$47,$AE4/D$48)/'Top Level Case Parameters'!$D19)</f>
        <v>64.100628930817606</v>
      </c>
      <c r="E68" s="57">
        <f>IF($AD4&gt;E$49,0,MAX($AB4/E$47,$AE4/E$48)/'Top Level Case Parameters'!$D19)</f>
        <v>21.233333333333334</v>
      </c>
      <c r="F68" s="57">
        <f>IF($AD4&gt;F$49,0,MAX($AB4/F$47,$AE4/F$48)/'Top Level Case Parameters'!$D19)</f>
        <v>22.648888888888891</v>
      </c>
      <c r="G68" s="57">
        <f>IF($AD4&gt;G$49,0,MAX($AB4/G$47,$AE4/G$48)/'Top Level Case Parameters'!$D19)</f>
        <v>11.324444444444445</v>
      </c>
      <c r="H68" s="57">
        <f>IF($AD4&gt;H$49,0,MAX($AB4/H$47,$AE4/H$48)/'Top Level Case Parameters'!$D19)</f>
        <v>30.333333333333332</v>
      </c>
      <c r="I68" s="57">
        <f>IF($AD4&gt;I$49,0,MAX($AB4/I$47,$AE4/I$48)/'Top Level Case Parameters'!$D19)</f>
        <v>54.357333333333337</v>
      </c>
      <c r="J68" s="57">
        <f>IF($AD4&gt;J$49,0,MAX($AB4/J$47,$AE4/J$48)/'Top Level Case Parameters'!$D19)</f>
        <v>254.48189762796503</v>
      </c>
      <c r="K68" s="57">
        <f>IF($AD4&gt;K$49,0,MAX($AB4/K$47,$AE4/K$48)/'Top Level Case Parameters'!$D19)</f>
        <v>0</v>
      </c>
      <c r="L68" s="57">
        <f>IF($AD4&gt;L$49,0,MAX($AB4/L$47,$AE4/L$48)/'Top Level Case Parameters'!$D19)</f>
        <v>52.266666666666666</v>
      </c>
      <c r="M68" s="57">
        <f>IF($AD4&gt;M$49,0,MAX($AB4/M$47,$AE4/M$48)/'Top Level Case Parameters'!$D19)</f>
        <v>0</v>
      </c>
      <c r="N68" s="57">
        <f>IF($AD4&gt;N$49,0,MAX($AB4/N$47,$AE4/N$48)/'Top Level Case Parameters'!$D19)</f>
        <v>0</v>
      </c>
      <c r="O68" s="57">
        <f>IF($AD4&gt;O$49,0,MAX($AB4/O$47,$AE4/O$48)/'Top Level Case Parameters'!$D19)</f>
        <v>0</v>
      </c>
      <c r="P68" s="57">
        <f>IF($AD4&gt;P$49,0,MAX($AB4/P$47,$AE4/P$48)/'Top Level Case Parameters'!$D19)</f>
        <v>20.222222222222225</v>
      </c>
      <c r="Q68" s="57">
        <f>IF($AD4&gt;Q$49,0,MAX($AB4/Q$47,$AE4/Q$48)/'Top Level Case Parameters'!$D19)</f>
        <v>13.270833333333334</v>
      </c>
      <c r="R68" s="57">
        <f>IF($AD4&gt;R$49,0,MAX($AB4/R$47,$AE4/R$48)/'Top Level Case Parameters'!$D19)</f>
        <v>0</v>
      </c>
      <c r="S68" s="57">
        <f>IF($AD4&gt;S$49,0,MAX($AB4/S$47,$AE4/S$48)/'Top Level Case Parameters'!$D19)</f>
        <v>217.42933333333335</v>
      </c>
      <c r="T68" s="57">
        <f>IF($AD4&gt;T$49,0,MAX($AB4/T$47,$AE4/T$48)/'Top Level Case Parameters'!$D19)</f>
        <v>23.592592592592592</v>
      </c>
      <c r="U68" s="57">
        <f>IF($AD4&gt;U$49,0,MAX($AB4/U$47,$AE4/U$48)/'Top Level Case Parameters'!$D19)</f>
        <v>19.925708699902248</v>
      </c>
      <c r="V68" s="57">
        <f>IF($AD4&gt;V$49,0,MAX($AB4/V$47,$AE4/V$48)/'Top Level Case Parameters'!$D19)</f>
        <v>4.996078431372549</v>
      </c>
      <c r="W68" s="57">
        <f>IF($AD4&gt;W$49,0,MAX($AB4/W$47,$AE4/W$48)/'Top Level Case Parameters'!$D19)</f>
        <v>0</v>
      </c>
    </row>
    <row r="69" spans="1:23" ht="14.7" thickBot="1" x14ac:dyDescent="0.6">
      <c r="A69" s="143"/>
      <c r="B69" s="3" t="s">
        <v>33</v>
      </c>
      <c r="C69" s="57">
        <f>IF($AD5&gt;C$49,0,MAX($AB5/C$47,$AE5/C$48)/'Top Level Case Parameters'!$D20)</f>
        <v>0</v>
      </c>
      <c r="D69" s="57">
        <f>IF($AD5&gt;D$49,0,MAX($AB5/D$47,$AE5/D$48)/'Top Level Case Parameters'!$D20)</f>
        <v>1.7257861635220126</v>
      </c>
      <c r="E69" s="57">
        <f>IF($AD5&gt;E$49,0,MAX($AB5/E$47,$AE5/E$48)/'Top Level Case Parameters'!$D20)</f>
        <v>0.57166666666666666</v>
      </c>
      <c r="F69" s="57">
        <f>IF($AD5&gt;F$49,0,MAX($AB5/F$47,$AE5/F$48)/'Top Level Case Parameters'!$D20)</f>
        <v>0.60977777777777775</v>
      </c>
      <c r="G69" s="57">
        <f>IF($AD5&gt;G$49,0,MAX($AB5/G$47,$AE5/G$48)/'Top Level Case Parameters'!$D20)</f>
        <v>0.30488888888888888</v>
      </c>
      <c r="H69" s="57">
        <f>IF($AD5&gt;H$49,0,MAX($AB5/H$47,$AE5/H$48)/'Top Level Case Parameters'!$D20)</f>
        <v>0.81666666666666665</v>
      </c>
      <c r="I69" s="57">
        <f>IF($AD5&gt;I$49,0,MAX($AB5/I$47,$AE5/I$48)/'Top Level Case Parameters'!$D20)</f>
        <v>1.4634666666666667</v>
      </c>
      <c r="J69" s="57">
        <f>IF($AD5&gt;J$49,0,MAX($AB5/J$47,$AE5/J$48)/'Top Level Case Parameters'!$D20)</f>
        <v>6.8514357053682895</v>
      </c>
      <c r="K69" s="57">
        <f>IF($AD5&gt;K$49,0,MAX($AB5/K$47,$AE5/K$48)/'Top Level Case Parameters'!$D20)</f>
        <v>0</v>
      </c>
      <c r="L69" s="57">
        <f>IF($AD5&gt;L$49,0,MAX($AB5/L$47,$AE5/L$48)/'Top Level Case Parameters'!$D20)</f>
        <v>1.4071794871794872</v>
      </c>
      <c r="M69" s="57">
        <f>IF($AD5&gt;M$49,0,MAX($AB5/M$47,$AE5/M$48)/'Top Level Case Parameters'!$D20)</f>
        <v>0</v>
      </c>
      <c r="N69" s="57">
        <f>IF($AD5&gt;N$49,0,MAX($AB5/N$47,$AE5/N$48)/'Top Level Case Parameters'!$D20)</f>
        <v>0</v>
      </c>
      <c r="O69" s="57">
        <f>IF($AD5&gt;O$49,0,MAX($AB5/O$47,$AE5/O$48)/'Top Level Case Parameters'!$D20)</f>
        <v>0</v>
      </c>
      <c r="P69" s="57">
        <f>IF($AD5&gt;P$49,0,MAX($AB5/P$47,$AE5/P$48)/'Top Level Case Parameters'!$D20)</f>
        <v>0.54444444444444451</v>
      </c>
      <c r="Q69" s="57">
        <f>IF($AD5&gt;Q$49,0,MAX($AB5/Q$47,$AE5/Q$48)/'Top Level Case Parameters'!$D20)</f>
        <v>0.35729166666666667</v>
      </c>
      <c r="R69" s="57">
        <f>IF($AD5&gt;R$49,0,MAX($AB5/R$47,$AE5/R$48)/'Top Level Case Parameters'!$D20)</f>
        <v>0</v>
      </c>
      <c r="S69" s="57">
        <f>IF($AD5&gt;S$49,0,MAX($AB5/S$47,$AE5/S$48)/'Top Level Case Parameters'!$D20)</f>
        <v>5.8538666666666668</v>
      </c>
      <c r="T69" s="57">
        <f>IF($AD5&gt;T$49,0,MAX($AB5/T$47,$AE5/T$48)/'Top Level Case Parameters'!$D20)</f>
        <v>0.63518518518518519</v>
      </c>
      <c r="U69" s="57">
        <f>IF($AD5&gt;U$49,0,MAX($AB5/U$47,$AE5/U$48)/'Top Level Case Parameters'!$D20)</f>
        <v>0.53646138807429133</v>
      </c>
      <c r="V69" s="57">
        <f>IF($AD5&gt;V$49,0,MAX($AB5/V$47,$AE5/V$48)/'Top Level Case Parameters'!$D20)</f>
        <v>0.13450980392156861</v>
      </c>
      <c r="W69" s="57">
        <f>IF($AD5&gt;W$49,0,MAX($AB5/W$47,$AE5/W$48)/'Top Level Case Parameters'!$D20)</f>
        <v>0</v>
      </c>
    </row>
    <row r="70" spans="1:23" ht="14.7" thickBot="1" x14ac:dyDescent="0.6">
      <c r="A70" s="143"/>
      <c r="B70" s="3" t="s">
        <v>34</v>
      </c>
      <c r="C70" s="57">
        <f>IF($AD6&gt;C$49,0,MAX($AB6/C$47,$AE6/C$48)/'Top Level Case Parameters'!$D21)</f>
        <v>0</v>
      </c>
      <c r="D70" s="57">
        <f>IF($AD6&gt;D$49,0,MAX($AB6/D$47,$AE6/D$48)/'Top Level Case Parameters'!$D21)</f>
        <v>0.54943396226415087</v>
      </c>
      <c r="E70" s="57">
        <f>IF($AD6&gt;E$49,0,MAX($AB6/E$47,$AE6/E$48)/'Top Level Case Parameters'!$D21)</f>
        <v>0.182</v>
      </c>
      <c r="F70" s="57">
        <f>IF($AD6&gt;F$49,0,MAX($AB6/F$47,$AE6/F$48)/'Top Level Case Parameters'!$D21)</f>
        <v>0.19413333333333332</v>
      </c>
      <c r="G70" s="57">
        <f>IF($AD6&gt;G$49,0,MAX($AB6/G$47,$AE6/G$48)/'Top Level Case Parameters'!$D21)</f>
        <v>9.7066666666666662E-2</v>
      </c>
      <c r="H70" s="57">
        <f>IF($AD6&gt;H$49,0,MAX($AB6/H$47,$AE6/H$48)/'Top Level Case Parameters'!$D21)</f>
        <v>0.26</v>
      </c>
      <c r="I70" s="57">
        <f>IF($AD6&gt;I$49,0,MAX($AB6/I$47,$AE6/I$48)/'Top Level Case Parameters'!$D21)</f>
        <v>0.46592</v>
      </c>
      <c r="J70" s="57">
        <f>IF($AD6&gt;J$49,0,MAX($AB6/J$47,$AE6/J$48)/'Top Level Case Parameters'!$D21)</f>
        <v>2.1812734082397003</v>
      </c>
      <c r="K70" s="57">
        <f>IF($AD6&gt;K$49,0,MAX($AB6/K$47,$AE6/K$48)/'Top Level Case Parameters'!$D21)</f>
        <v>0</v>
      </c>
      <c r="L70" s="57">
        <f>IF($AD6&gt;L$49,0,MAX($AB6/L$47,$AE6/L$48)/'Top Level Case Parameters'!$D21)</f>
        <v>0.44800000000000006</v>
      </c>
      <c r="M70" s="57">
        <f>IF($AD6&gt;M$49,0,MAX($AB6/M$47,$AE6/M$48)/'Top Level Case Parameters'!$D21)</f>
        <v>0</v>
      </c>
      <c r="N70" s="57">
        <f>IF($AD6&gt;N$49,0,MAX($AB6/N$47,$AE6/N$48)/'Top Level Case Parameters'!$D21)</f>
        <v>0</v>
      </c>
      <c r="O70" s="57">
        <f>IF($AD6&gt;O$49,0,MAX($AB6/O$47,$AE6/O$48)/'Top Level Case Parameters'!$D21)</f>
        <v>0</v>
      </c>
      <c r="P70" s="57">
        <f>IF($AD6&gt;P$49,0,MAX($AB6/P$47,$AE6/P$48)/'Top Level Case Parameters'!$D21)</f>
        <v>0.17333333333333334</v>
      </c>
      <c r="Q70" s="57">
        <f>IF($AD6&gt;Q$49,0,MAX($AB6/Q$47,$AE6/Q$48)/'Top Level Case Parameters'!$D21)</f>
        <v>0.11374999999999999</v>
      </c>
      <c r="R70" s="57">
        <f>IF($AD6&gt;R$49,0,MAX($AB6/R$47,$AE6/R$48)/'Top Level Case Parameters'!$D21)</f>
        <v>0</v>
      </c>
      <c r="S70" s="57">
        <f>IF($AD6&gt;S$49,0,MAX($AB6/S$47,$AE6/S$48)/'Top Level Case Parameters'!$D21)</f>
        <v>1.86368</v>
      </c>
      <c r="T70" s="57">
        <f>IF($AD6&gt;T$49,0,MAX($AB6/T$47,$AE6/T$48)/'Top Level Case Parameters'!$D21)</f>
        <v>0.20222222222222222</v>
      </c>
      <c r="U70" s="57">
        <f>IF($AD6&gt;U$49,0,MAX($AB6/U$47,$AE6/U$48)/'Top Level Case Parameters'!$D21)</f>
        <v>0.170791788856305</v>
      </c>
      <c r="V70" s="57">
        <f>IF($AD6&gt;V$49,0,MAX($AB6/V$47,$AE6/V$48)/'Top Level Case Parameters'!$D21)</f>
        <v>4.2823529411764705E-2</v>
      </c>
      <c r="W70" s="57">
        <f>IF($AD6&gt;W$49,0,MAX($AB6/W$47,$AE6/W$48)/'Top Level Case Parameters'!$D21)</f>
        <v>0</v>
      </c>
    </row>
    <row r="71" spans="1:23" ht="14.7" thickBot="1" x14ac:dyDescent="0.6">
      <c r="A71" s="143"/>
      <c r="B71" s="3" t="s">
        <v>35</v>
      </c>
      <c r="C71" s="57">
        <f>IF($AD7&gt;C$49,0,MAX($AB7/C$47,$AE7/C$48)/'Top Level Case Parameters'!$D22)</f>
        <v>7.7999999999999999E-5</v>
      </c>
      <c r="D71" s="57">
        <f>IF($AD7&gt;D$49,0,MAX($AB7/D$47,$AE7/D$48)/'Top Level Case Parameters'!$D22)</f>
        <v>1.1773584905660378E-4</v>
      </c>
      <c r="E71" s="57">
        <f>IF($AD7&gt;E$49,0,MAX($AB7/E$47,$AE7/E$48)/'Top Level Case Parameters'!$D22)</f>
        <v>3.8999999999999999E-5</v>
      </c>
      <c r="F71" s="57">
        <f>IF($AD7&gt;F$49,0,MAX($AB7/F$47,$AE7/F$48)/'Top Level Case Parameters'!$D22)</f>
        <v>4.1599999999999995E-5</v>
      </c>
      <c r="G71" s="57">
        <f>IF($AD7&gt;G$49,0,MAX($AB7/G$47,$AE7/G$48)/'Top Level Case Parameters'!$D22)</f>
        <v>2.0799999999999997E-5</v>
      </c>
      <c r="H71" s="57">
        <f>IF($AD7&gt;H$49,0,MAX($AB7/H$47,$AE7/H$48)/'Top Level Case Parameters'!$D22)</f>
        <v>5.5714285714285715E-5</v>
      </c>
      <c r="I71" s="57">
        <f>IF($AD7&gt;I$49,0,MAX($AB7/I$47,$AE7/I$48)/'Top Level Case Parameters'!$D22)</f>
        <v>9.9839999999999993E-5</v>
      </c>
      <c r="J71" s="57">
        <f>IF($AD7&gt;J$49,0,MAX($AB7/J$47,$AE7/J$48)/'Top Level Case Parameters'!$D22)</f>
        <v>4.6741573033707868E-4</v>
      </c>
      <c r="K71" s="57">
        <f>IF($AD7&gt;K$49,0,MAX($AB7/K$47,$AE7/K$48)/'Top Level Case Parameters'!$D22)</f>
        <v>4.8749999999999999E-5</v>
      </c>
      <c r="L71" s="57">
        <f>IF($AD7&gt;L$49,0,MAX($AB7/L$47,$AE7/L$48)/'Top Level Case Parameters'!$D22)</f>
        <v>9.6000000000000002E-5</v>
      </c>
      <c r="M71" s="57">
        <f>IF($AD7&gt;M$49,0,MAX($AB7/M$47,$AE7/M$48)/'Top Level Case Parameters'!$D22)</f>
        <v>1.56E-3</v>
      </c>
      <c r="N71" s="57">
        <f>IF($AD7&gt;N$49,0,MAX($AB7/N$47,$AE7/N$48)/'Top Level Case Parameters'!$D22)</f>
        <v>1.56E-3</v>
      </c>
      <c r="O71" s="57">
        <f>IF($AD7&gt;O$49,0,MAX($AB7/O$47,$AE7/O$48)/'Top Level Case Parameters'!$D22)</f>
        <v>3.1199999999999999E-3</v>
      </c>
      <c r="P71" s="57">
        <f>IF($AD7&gt;P$49,0,MAX($AB7/P$47,$AE7/P$48)/'Top Level Case Parameters'!$D22)</f>
        <v>3.7142857142857143E-5</v>
      </c>
      <c r="Q71" s="57">
        <f>IF($AD7&gt;Q$49,0,MAX($AB7/Q$47,$AE7/Q$48)/'Top Level Case Parameters'!$D22)</f>
        <v>2.4375E-5</v>
      </c>
      <c r="R71" s="57">
        <f>IF($AD7&gt;R$49,0,MAX($AB7/R$47,$AE7/R$48)/'Top Level Case Parameters'!$D22)</f>
        <v>3.4666666666666667E-4</v>
      </c>
      <c r="S71" s="57">
        <f>IF($AD7&gt;S$49,0,MAX($AB7/S$47,$AE7/S$48)/'Top Level Case Parameters'!$D22)</f>
        <v>3.9935999999999997E-4</v>
      </c>
      <c r="T71" s="57">
        <f>IF($AD7&gt;T$49,0,MAX($AB7/T$47,$AE7/T$48)/'Top Level Case Parameters'!$D22)</f>
        <v>4.3333333333333334E-5</v>
      </c>
      <c r="U71" s="57">
        <f>IF($AD7&gt;U$49,0,MAX($AB7/U$47,$AE7/U$48)/'Top Level Case Parameters'!$D22)</f>
        <v>3.659824046920821E-5</v>
      </c>
      <c r="V71" s="57">
        <f>IF($AD7&gt;V$49,0,MAX($AB7/V$47,$AE7/V$48)/'Top Level Case Parameters'!$D22)</f>
        <v>9.1764705882352953E-6</v>
      </c>
      <c r="W71" s="57">
        <f>IF($AD7&gt;W$49,0,MAX($AB7/W$47,$AE7/W$48)/'Top Level Case Parameters'!$D22)</f>
        <v>5.8591549295774646E-5</v>
      </c>
    </row>
    <row r="72" spans="1:23" ht="14.7" thickBot="1" x14ac:dyDescent="0.6">
      <c r="A72" s="143"/>
      <c r="B72" s="3" t="s">
        <v>36</v>
      </c>
      <c r="C72" s="57">
        <f>IF($AD8&gt;C$49,0,MAX($AB8/C$47,$AE8/C$48)/'Top Level Case Parameters'!$D23)</f>
        <v>0</v>
      </c>
      <c r="D72" s="57">
        <f>IF($AD8&gt;D$49,0,MAX($AB8/D$47,$AE8/D$48)/'Top Level Case Parameters'!$D23)</f>
        <v>3846.0377358490564</v>
      </c>
      <c r="E72" s="57">
        <f>IF($AD8&gt;E$49,0,MAX($AB8/E$47,$AE8/E$48)/'Top Level Case Parameters'!$D23)</f>
        <v>1274</v>
      </c>
      <c r="F72" s="57">
        <f>IF($AD8&gt;F$49,0,MAX($AB8/F$47,$AE8/F$48)/'Top Level Case Parameters'!$D23)</f>
        <v>1358.9333333333334</v>
      </c>
      <c r="G72" s="57">
        <f>IF($AD8&gt;G$49,0,MAX($AB8/G$47,$AE8/G$48)/'Top Level Case Parameters'!$D23)</f>
        <v>679.4666666666667</v>
      </c>
      <c r="H72" s="57">
        <f>IF($AD8&gt;H$49,0,MAX($AB8/H$47,$AE8/H$48)/'Top Level Case Parameters'!$D23)</f>
        <v>1820</v>
      </c>
      <c r="I72" s="57">
        <f>IF($AD8&gt;I$49,0,MAX($AB8/I$47,$AE8/I$48)/'Top Level Case Parameters'!$D23)</f>
        <v>3261.44</v>
      </c>
      <c r="J72" s="57">
        <f>IF($AD8&gt;J$49,0,MAX($AB8/J$47,$AE8/J$48)/'Top Level Case Parameters'!$D23)</f>
        <v>15268.913857677902</v>
      </c>
      <c r="K72" s="57">
        <f>IF($AD8&gt;K$49,0,MAX($AB8/K$47,$AE8/K$48)/'Top Level Case Parameters'!$D23)</f>
        <v>0</v>
      </c>
      <c r="L72" s="57">
        <f>IF($AD8&gt;L$49,0,MAX($AB8/L$47,$AE8/L$48)/'Top Level Case Parameters'!$D23)</f>
        <v>3136</v>
      </c>
      <c r="M72" s="57">
        <f>IF($AD8&gt;M$49,0,MAX($AB8/M$47,$AE8/M$48)/'Top Level Case Parameters'!$D23)</f>
        <v>0</v>
      </c>
      <c r="N72" s="57">
        <f>IF($AD8&gt;N$49,0,MAX($AB8/N$47,$AE8/N$48)/'Top Level Case Parameters'!$D23)</f>
        <v>0</v>
      </c>
      <c r="O72" s="57">
        <f>IF($AD8&gt;O$49,0,MAX($AB8/O$47,$AE8/O$48)/'Top Level Case Parameters'!$D23)</f>
        <v>0</v>
      </c>
      <c r="P72" s="57">
        <f>IF($AD8&gt;P$49,0,MAX($AB8/P$47,$AE8/P$48)/'Top Level Case Parameters'!$D23)</f>
        <v>1213.3333333333335</v>
      </c>
      <c r="Q72" s="57">
        <f>IF($AD8&gt;Q$49,0,MAX($AB8/Q$47,$AE8/Q$48)/'Top Level Case Parameters'!$D23)</f>
        <v>796.25</v>
      </c>
      <c r="R72" s="57">
        <f>IF($AD8&gt;R$49,0,MAX($AB8/R$47,$AE8/R$48)/'Top Level Case Parameters'!$D23)</f>
        <v>0</v>
      </c>
      <c r="S72" s="57">
        <f>IF($AD8&gt;S$49,0,MAX($AB8/S$47,$AE8/S$48)/'Top Level Case Parameters'!$D23)</f>
        <v>13045.76</v>
      </c>
      <c r="T72" s="57">
        <f>IF($AD8&gt;T$49,0,MAX($AB8/T$47,$AE8/T$48)/'Top Level Case Parameters'!$D23)</f>
        <v>1415.5555555555554</v>
      </c>
      <c r="U72" s="57">
        <f>IF($AD8&gt;U$49,0,MAX($AB8/U$47,$AE8/U$48)/'Top Level Case Parameters'!$D23)</f>
        <v>1195.5425219941349</v>
      </c>
      <c r="V72" s="57">
        <f>IF($AD8&gt;V$49,0,MAX($AB8/V$47,$AE8/V$48)/'Top Level Case Parameters'!$D23)</f>
        <v>299.76470588235293</v>
      </c>
      <c r="W72" s="57">
        <f>IF($AD8&gt;W$49,0,MAX($AB8/W$47,$AE8/W$48)/'Top Level Case Parameters'!$D23)</f>
        <v>0</v>
      </c>
    </row>
    <row r="73" spans="1:23" ht="14.7" thickBot="1" x14ac:dyDescent="0.6">
      <c r="A73" s="143"/>
      <c r="B73" s="3" t="s">
        <v>37</v>
      </c>
      <c r="C73" s="57">
        <f>IF($AD9&gt;C$49,0,MAX($AB9/C$47,$AE9/C$48)/'Top Level Case Parameters'!$D24)</f>
        <v>0</v>
      </c>
      <c r="D73" s="57">
        <f>IF($AD9&gt;D$49,0,MAX($AB9/D$47,$AE9/D$48)/'Top Level Case Parameters'!$D24)</f>
        <v>197.52797705660379</v>
      </c>
      <c r="E73" s="57">
        <f>IF($AD9&gt;E$49,0,MAX($AB9/E$47,$AE9/E$48)/'Top Level Case Parameters'!$D24)</f>
        <v>65.431142399999999</v>
      </c>
      <c r="F73" s="57">
        <f>IF($AD9&gt;F$49,0,MAX($AB9/F$47,$AE9/F$48)/'Top Level Case Parameters'!$D24)</f>
        <v>69.79321856</v>
      </c>
      <c r="G73" s="57">
        <f>IF($AD9&gt;G$49,0,MAX($AB9/G$47,$AE9/G$48)/'Top Level Case Parameters'!$D24)</f>
        <v>34.89660928</v>
      </c>
      <c r="H73" s="57">
        <f>IF($AD9&gt;H$49,0,MAX($AB9/H$47,$AE9/H$48)/'Top Level Case Parameters'!$D24)</f>
        <v>93.473060571428576</v>
      </c>
      <c r="I73" s="57">
        <f>IF($AD9&gt;I$49,0,MAX($AB9/I$47,$AE9/I$48)/'Top Level Case Parameters'!$D24)</f>
        <v>167.50372454400002</v>
      </c>
      <c r="J73" s="57">
        <f>IF($AD9&gt;J$49,0,MAX($AB9/J$47,$AE9/J$48)/'Top Level Case Parameters'!$D24)</f>
        <v>784.19346696629214</v>
      </c>
      <c r="K73" s="57">
        <f>IF($AD9&gt;K$49,0,MAX($AB9/K$47,$AE9/K$48)/'Top Level Case Parameters'!$D24)</f>
        <v>81.788927999999999</v>
      </c>
      <c r="L73" s="57">
        <f>IF($AD9&gt;L$49,0,MAX($AB9/L$47,$AE9/L$48)/'Top Level Case Parameters'!$D24)</f>
        <v>161.06127359999999</v>
      </c>
      <c r="M73" s="57">
        <f>IF($AD9&gt;M$49,0,MAX($AB9/M$47,$AE9/M$48)/'Top Level Case Parameters'!$D24)</f>
        <v>1932.7352832000001</v>
      </c>
      <c r="N73" s="57">
        <f>IF($AD9&gt;N$49,0,MAX($AB9/N$47,$AE9/N$48)/'Top Level Case Parameters'!$D24)</f>
        <v>2617.245696</v>
      </c>
      <c r="O73" s="57">
        <f>IF($AD9&gt;O$49,0,MAX($AB9/O$47,$AE9/O$48)/'Top Level Case Parameters'!$D24)</f>
        <v>5234.4913919999999</v>
      </c>
      <c r="P73" s="57">
        <f>IF($AD9&gt;P$49,0,MAX($AB9/P$47,$AE9/P$48)/'Top Level Case Parameters'!$D24)</f>
        <v>62.315373714285712</v>
      </c>
      <c r="Q73" s="57">
        <f>IF($AD9&gt;Q$49,0,MAX($AB9/Q$47,$AE9/Q$48)/'Top Level Case Parameters'!$D24)</f>
        <v>40.894463999999999</v>
      </c>
      <c r="R73" s="57">
        <f>IF($AD9&gt;R$49,0,MAX($AB9/R$47,$AE9/R$48)/'Top Level Case Parameters'!$D24)</f>
        <v>0</v>
      </c>
      <c r="S73" s="57">
        <f>IF($AD9&gt;S$49,0,MAX($AB9/S$47,$AE9/S$48)/'Top Level Case Parameters'!$D24)</f>
        <v>670.01489817600009</v>
      </c>
      <c r="T73" s="57">
        <f>IF($AD9&gt;T$49,0,MAX($AB9/T$47,$AE9/T$48)/'Top Level Case Parameters'!$D24)</f>
        <v>72.701269333333329</v>
      </c>
      <c r="U73" s="57">
        <f>IF($AD9&gt;U$49,0,MAX($AB9/U$47,$AE9/U$48)/'Top Level Case Parameters'!$D24)</f>
        <v>61.401658557184746</v>
      </c>
      <c r="V73" s="57">
        <f>IF($AD9&gt;V$49,0,MAX($AB9/V$47,$AE9/V$48)/'Top Level Case Parameters'!$D24)</f>
        <v>15.395562917647059</v>
      </c>
      <c r="W73" s="57">
        <f>IF($AD9&gt;W$49,0,MAX($AB9/W$47,$AE9/W$48)/'Top Level Case Parameters'!$D24)</f>
        <v>98.300307830985915</v>
      </c>
    </row>
    <row r="74" spans="1:23" ht="14.7" thickBot="1" x14ac:dyDescent="0.6">
      <c r="A74" s="143"/>
      <c r="B74" s="3" t="s">
        <v>38</v>
      </c>
      <c r="C74" s="57">
        <f>IF($AD10&gt;C$49,0,MAX($AB10/C$47,$AE10/C$48)/'Top Level Case Parameters'!$D25)</f>
        <v>0</v>
      </c>
      <c r="D74" s="57">
        <f>IF($AD10&gt;D$49,0,MAX($AB10/D$47,$AE10/D$48)/'Top Level Case Parameters'!$D25)</f>
        <v>1114.3647798742138</v>
      </c>
      <c r="E74" s="57">
        <f>IF($AD10&gt;E$49,0,MAX($AB10/E$47,$AE10/E$48)/'Top Level Case Parameters'!$D25)</f>
        <v>369.13333333333333</v>
      </c>
      <c r="F74" s="57">
        <f>IF($AD10&gt;F$49,0,MAX($AB10/F$47,$AE10/F$48)/'Top Level Case Parameters'!$D25)</f>
        <v>393.74222222222227</v>
      </c>
      <c r="G74" s="57">
        <f>IF($AD10&gt;G$49,0,MAX($AB10/G$47,$AE10/G$48)/'Top Level Case Parameters'!$D25)</f>
        <v>196.87111111111113</v>
      </c>
      <c r="H74" s="57">
        <f>IF($AD10&gt;H$49,0,MAX($AB10/H$47,$AE10/H$48)/'Top Level Case Parameters'!$D25)</f>
        <v>527.33333333333337</v>
      </c>
      <c r="I74" s="57">
        <f>IF($AD10&gt;I$49,0,MAX($AB10/I$47,$AE10/I$48)/'Top Level Case Parameters'!$D25)</f>
        <v>944.9813333333334</v>
      </c>
      <c r="J74" s="57">
        <f>IF($AD10&gt;J$49,0,MAX($AB10/J$47,$AE10/J$48)/'Top Level Case Parameters'!$D25)</f>
        <v>4424.0699126092386</v>
      </c>
      <c r="K74" s="57">
        <f>IF($AD10&gt;K$49,0,MAX($AB10/K$47,$AE10/K$48)/'Top Level Case Parameters'!$D25)</f>
        <v>461.41666666666669</v>
      </c>
      <c r="L74" s="57">
        <f>IF($AD10&gt;L$49,0,MAX($AB10/L$47,$AE10/L$48)/'Top Level Case Parameters'!$D25)</f>
        <v>908.6358974358975</v>
      </c>
      <c r="M74" s="57">
        <f>IF($AD10&gt;M$49,0,MAX($AB10/M$47,$AE10/M$48)/'Top Level Case Parameters'!$D25)</f>
        <v>9669.3333333333339</v>
      </c>
      <c r="N74" s="57">
        <f>IF($AD10&gt;N$49,0,MAX($AB10/N$47,$AE10/N$48)/'Top Level Case Parameters'!$D25)</f>
        <v>14765.333333333334</v>
      </c>
      <c r="O74" s="57">
        <f>IF($AD10&gt;O$49,0,MAX($AB10/O$47,$AE10/O$48)/'Top Level Case Parameters'!$D25)</f>
        <v>29530.666666666668</v>
      </c>
      <c r="P74" s="57">
        <f>IF($AD10&gt;P$49,0,MAX($AB10/P$47,$AE10/P$48)/'Top Level Case Parameters'!$D25)</f>
        <v>351.55555555555554</v>
      </c>
      <c r="Q74" s="57">
        <f>IF($AD10&gt;Q$49,0,MAX($AB10/Q$47,$AE10/Q$48)/'Top Level Case Parameters'!$D25)</f>
        <v>230.70833333333334</v>
      </c>
      <c r="R74" s="57">
        <f>IF($AD10&gt;R$49,0,MAX($AB10/R$47,$AE10/R$48)/'Top Level Case Parameters'!$D25)</f>
        <v>0</v>
      </c>
      <c r="S74" s="57">
        <f>IF($AD10&gt;S$49,0,MAX($AB10/S$47,$AE10/S$48)/'Top Level Case Parameters'!$D25)</f>
        <v>3779.9253333333336</v>
      </c>
      <c r="T74" s="57">
        <f>IF($AD10&gt;T$49,0,MAX($AB10/T$47,$AE10/T$48)/'Top Level Case Parameters'!$D25)</f>
        <v>410.14814814814815</v>
      </c>
      <c r="U74" s="57">
        <f>IF($AD10&gt;U$49,0,MAX($AB10/U$47,$AE10/U$48)/'Top Level Case Parameters'!$D25)</f>
        <v>346.40078201368522</v>
      </c>
      <c r="V74" s="57">
        <f>IF($AD10&gt;V$49,0,MAX($AB10/V$47,$AE10/V$48)/'Top Level Case Parameters'!$D25)</f>
        <v>86.854901960784318</v>
      </c>
      <c r="W74" s="57">
        <f>IF($AD10&gt;W$49,0,MAX($AB10/W$47,$AE10/W$48)/'Top Level Case Parameters'!$D25)</f>
        <v>554.56651017214404</v>
      </c>
    </row>
    <row r="75" spans="1:23" ht="14.7" thickBot="1" x14ac:dyDescent="0.6">
      <c r="A75" s="143"/>
      <c r="B75" s="3" t="s">
        <v>39</v>
      </c>
      <c r="C75" s="57">
        <f>IF($AD11&gt;C$49,0,MAX($AB11/C$47,$AE11/C$48)/'Top Level Case Parameters'!$D26)</f>
        <v>0</v>
      </c>
      <c r="D75" s="57">
        <f>IF($AD11&gt;D$49,0,MAX($AB11/D$47,$AE11/D$48)/'Top Level Case Parameters'!$D26)</f>
        <v>0.54943396226415087</v>
      </c>
      <c r="E75" s="57">
        <f>IF($AD11&gt;E$49,0,MAX($AB11/E$47,$AE11/E$48)/'Top Level Case Parameters'!$D26)</f>
        <v>0.182</v>
      </c>
      <c r="F75" s="57">
        <f>IF($AD11&gt;F$49,0,MAX($AB11/F$47,$AE11/F$48)/'Top Level Case Parameters'!$D26)</f>
        <v>0.19413333333333332</v>
      </c>
      <c r="G75" s="57">
        <f>IF($AD11&gt;G$49,0,MAX($AB11/G$47,$AE11/G$48)/'Top Level Case Parameters'!$D26)</f>
        <v>9.7066666666666662E-2</v>
      </c>
      <c r="H75" s="57">
        <f>IF($AD11&gt;H$49,0,MAX($AB11/H$47,$AE11/H$48)/'Top Level Case Parameters'!$D26)</f>
        <v>0.26</v>
      </c>
      <c r="I75" s="57">
        <f>IF($AD11&gt;I$49,0,MAX($AB11/I$47,$AE11/I$48)/'Top Level Case Parameters'!$D26)</f>
        <v>0.46592</v>
      </c>
      <c r="J75" s="57">
        <f>IF($AD11&gt;J$49,0,MAX($AB11/J$47,$AE11/J$48)/'Top Level Case Parameters'!$D26)</f>
        <v>2.1812734082397003</v>
      </c>
      <c r="K75" s="57">
        <f>IF($AD11&gt;K$49,0,MAX($AB11/K$47,$AE11/K$48)/'Top Level Case Parameters'!$D26)</f>
        <v>0</v>
      </c>
      <c r="L75" s="57">
        <f>IF($AD11&gt;L$49,0,MAX($AB11/L$47,$AE11/L$48)/'Top Level Case Parameters'!$D26)</f>
        <v>0.44800000000000006</v>
      </c>
      <c r="M75" s="57">
        <f>IF($AD11&gt;M$49,0,MAX($AB11/M$47,$AE11/M$48)/'Top Level Case Parameters'!$D26)</f>
        <v>0</v>
      </c>
      <c r="N75" s="57">
        <f>IF($AD11&gt;N$49,0,MAX($AB11/N$47,$AE11/N$48)/'Top Level Case Parameters'!$D26)</f>
        <v>0</v>
      </c>
      <c r="O75" s="57">
        <f>IF($AD11&gt;O$49,0,MAX($AB11/O$47,$AE11/O$48)/'Top Level Case Parameters'!$D26)</f>
        <v>0</v>
      </c>
      <c r="P75" s="57">
        <f>IF($AD11&gt;P$49,0,MAX($AB11/P$47,$AE11/P$48)/'Top Level Case Parameters'!$D26)</f>
        <v>0.17333333333333334</v>
      </c>
      <c r="Q75" s="57">
        <f>IF($AD11&gt;Q$49,0,MAX($AB11/Q$47,$AE11/Q$48)/'Top Level Case Parameters'!$D26)</f>
        <v>0.11374999999999999</v>
      </c>
      <c r="R75" s="57">
        <f>IF($AD11&gt;R$49,0,MAX($AB11/R$47,$AE11/R$48)/'Top Level Case Parameters'!$D26)</f>
        <v>0</v>
      </c>
      <c r="S75" s="57">
        <f>IF($AD11&gt;S$49,0,MAX($AB11/S$47,$AE11/S$48)/'Top Level Case Parameters'!$D26)</f>
        <v>1.86368</v>
      </c>
      <c r="T75" s="57">
        <f>IF($AD11&gt;T$49,0,MAX($AB11/T$47,$AE11/T$48)/'Top Level Case Parameters'!$D26)</f>
        <v>0.20222222222222222</v>
      </c>
      <c r="U75" s="57">
        <f>IF($AD11&gt;U$49,0,MAX($AB11/U$47,$AE11/U$48)/'Top Level Case Parameters'!$D26)</f>
        <v>0.170791788856305</v>
      </c>
      <c r="V75" s="57">
        <f>IF($AD11&gt;V$49,0,MAX($AB11/V$47,$AE11/V$48)/'Top Level Case Parameters'!$D26)</f>
        <v>4.2823529411764705E-2</v>
      </c>
      <c r="W75" s="57">
        <f>IF($AD11&gt;W$49,0,MAX($AB11/W$47,$AE11/W$48)/'Top Level Case Parameters'!$D26)</f>
        <v>0</v>
      </c>
    </row>
    <row r="76" spans="1:23" ht="14.7" thickBot="1" x14ac:dyDescent="0.6">
      <c r="A76" s="143"/>
      <c r="B76" s="3" t="s">
        <v>40</v>
      </c>
      <c r="C76" s="57">
        <f>IF($AD12&gt;C$49,0,MAX($AB12/C$47,$AE12/C$48)/'Top Level Case Parameters'!$D27)</f>
        <v>8.1711819444189144E-5</v>
      </c>
      <c r="D76" s="57">
        <f>IF($AD12&gt;D$49,0,MAX($AB12/D$47,$AE12/D$48)/'Top Level Case Parameters'!$D27)</f>
        <v>1.1773584905660378E-4</v>
      </c>
      <c r="E76" s="57">
        <f>IF($AD12&gt;E$49,0,MAX($AB12/E$47,$AE12/E$48)/'Top Level Case Parameters'!$D27)</f>
        <v>3.8999999999999999E-5</v>
      </c>
      <c r="F76" s="57">
        <f>IF($AD12&gt;F$49,0,MAX($AB12/F$47,$AE12/F$48)/'Top Level Case Parameters'!$D27)</f>
        <v>4.1599999999999995E-5</v>
      </c>
      <c r="G76" s="57">
        <f>IF($AD12&gt;G$49,0,MAX($AB12/G$47,$AE12/G$48)/'Top Level Case Parameters'!$D27)</f>
        <v>2.0799999999999997E-5</v>
      </c>
      <c r="H76" s="57">
        <f>IF($AD12&gt;H$49,0,MAX($AB12/H$47,$AE12/H$48)/'Top Level Case Parameters'!$D27)</f>
        <v>5.5714285714285715E-5</v>
      </c>
      <c r="I76" s="57">
        <f>IF($AD12&gt;I$49,0,MAX($AB12/I$47,$AE12/I$48)/'Top Level Case Parameters'!$D27)</f>
        <v>9.9839999999999993E-5</v>
      </c>
      <c r="J76" s="57">
        <f>IF($AD12&gt;J$49,0,MAX($AB12/J$47,$AE12/J$48)/'Top Level Case Parameters'!$D27)</f>
        <v>4.6741573033707868E-4</v>
      </c>
      <c r="K76" s="57">
        <f>IF($AD12&gt;K$49,0,MAX($AB12/K$47,$AE12/K$48)/'Top Level Case Parameters'!$D27)</f>
        <v>4.8749999999999999E-5</v>
      </c>
      <c r="L76" s="57">
        <f>IF($AD12&gt;L$49,0,MAX($AB12/L$47,$AE12/L$48)/'Top Level Case Parameters'!$D27)</f>
        <v>2.473438858851131E-3</v>
      </c>
      <c r="M76" s="57">
        <f>IF($AD12&gt;M$49,0,MAX($AB12/M$47,$AE12/M$48)/'Top Level Case Parameters'!$D27)</f>
        <v>4.5758618888745918E-2</v>
      </c>
      <c r="N76" s="57">
        <f>IF($AD12&gt;N$49,0,MAX($AB12/N$47,$AE12/N$48)/'Top Level Case Parameters'!$D27)</f>
        <v>9.1517237777491833E-3</v>
      </c>
      <c r="O76" s="57">
        <f>IF($AD12&gt;O$49,0,MAX($AB12/O$47,$AE12/O$48)/'Top Level Case Parameters'!$D27)</f>
        <v>4.5758618888745918E-2</v>
      </c>
      <c r="P76" s="57">
        <f>IF($AD12&gt;P$49,0,MAX($AB12/P$47,$AE12/P$48)/'Top Level Case Parameters'!$D27)</f>
        <v>1.5888409336370111E-4</v>
      </c>
      <c r="Q76" s="57">
        <f>IF($AD12&gt;Q$49,0,MAX($AB12/Q$47,$AE12/Q$48)/'Top Level Case Parameters'!$D27)</f>
        <v>7.1497842013665494E-5</v>
      </c>
      <c r="R76" s="57">
        <f>IF($AD12&gt;R$49,0,MAX($AB12/R$47,$AE12/R$48)/'Top Level Case Parameters'!$D27)</f>
        <v>1.0168581975276871E-2</v>
      </c>
      <c r="S76" s="57">
        <f>IF($AD12&gt;S$49,0,MAX($AB12/S$47,$AE12/S$48)/'Top Level Case Parameters'!$D27)</f>
        <v>3.9935999999999997E-4</v>
      </c>
      <c r="T76" s="57">
        <f>IF($AD12&gt;T$49,0,MAX($AB12/T$47,$AE12/T$48)/'Top Level Case Parameters'!$D27)</f>
        <v>4.3333333333333334E-5</v>
      </c>
      <c r="U76" s="57">
        <f>IF($AD12&gt;U$49,0,MAX($AB12/U$47,$AE12/U$48)/'Top Level Case Parameters'!$D27)</f>
        <v>3.659824046920821E-5</v>
      </c>
      <c r="V76" s="57">
        <f>IF($AD12&gt;V$49,0,MAX($AB12/V$47,$AE12/V$48)/'Top Level Case Parameters'!$D27)</f>
        <v>9.1764705882352953E-6</v>
      </c>
      <c r="W76" s="57">
        <f>IF($AD12&gt;W$49,0,MAX($AB12/W$47,$AE12/W$48)/'Top Level Case Parameters'!$D27)</f>
        <v>1.4299568402733099E-4</v>
      </c>
    </row>
    <row r="77" spans="1:23" ht="14.7" thickBot="1" x14ac:dyDescent="0.6">
      <c r="A77" s="143"/>
      <c r="B77" t="s">
        <v>133</v>
      </c>
      <c r="C77" s="57">
        <f>IF($AD13&gt;C$49,0,MAX($AB13/C$47,$AE13/C$48)/'Top Level Case Parameters'!$D28)</f>
        <v>0</v>
      </c>
      <c r="D77" s="57">
        <f>IF($AD13&gt;D$49,0,MAX($AB13/D$47,$AE13/D$48)/'Top Level Case Parameters'!$D28)</f>
        <v>0</v>
      </c>
      <c r="E77" s="57">
        <f>IF($AD13&gt;E$49,0,MAX($AB13/E$47,$AE13/E$48)/'Top Level Case Parameters'!$D28)</f>
        <v>0</v>
      </c>
      <c r="F77" s="57">
        <f>IF($AD13&gt;F$49,0,MAX($AB13/F$47,$AE13/F$48)/'Top Level Case Parameters'!$D28)</f>
        <v>0</v>
      </c>
      <c r="G77" s="57">
        <f>IF($AD13&gt;G$49,0,MAX($AB13/G$47,$AE13/G$48)/'Top Level Case Parameters'!$D28)</f>
        <v>113.24444444444445</v>
      </c>
      <c r="H77" s="57">
        <f>IF($AD13&gt;H$49,0,MAX($AB13/H$47,$AE13/H$48)/'Top Level Case Parameters'!$D28)</f>
        <v>303.33333333333331</v>
      </c>
      <c r="I77" s="57">
        <f>IF($AD13&gt;I$49,0,MAX($AB13/I$47,$AE13/I$48)/'Top Level Case Parameters'!$D28)</f>
        <v>543.57333333333338</v>
      </c>
      <c r="J77" s="57">
        <f>IF($AD13&gt;J$49,0,MAX($AB13/J$47,$AE13/J$48)/'Top Level Case Parameters'!$D28)</f>
        <v>0</v>
      </c>
      <c r="K77" s="57">
        <f>IF($AD13&gt;K$49,0,MAX($AB13/K$47,$AE13/K$48)/'Top Level Case Parameters'!$D28)</f>
        <v>0</v>
      </c>
      <c r="L77" s="57">
        <f>IF($AD13&gt;L$49,0,MAX($AB13/L$47,$AE13/L$48)/'Top Level Case Parameters'!$D28)</f>
        <v>550.91891891891896</v>
      </c>
      <c r="M77" s="57">
        <f>IF($AD13&gt;M$49,0,MAX($AB13/M$47,$AE13/M$48)/'Top Level Case Parameters'!$D28)</f>
        <v>0</v>
      </c>
      <c r="N77" s="57">
        <f>IF($AD13&gt;N$49,0,MAX($AB13/N$47,$AE13/N$48)/'Top Level Case Parameters'!$D28)</f>
        <v>0</v>
      </c>
      <c r="O77" s="57">
        <f>IF($AD13&gt;O$49,0,MAX($AB13/O$47,$AE13/O$48)/'Top Level Case Parameters'!$D28)</f>
        <v>0</v>
      </c>
      <c r="P77" s="57">
        <f>IF($AD13&gt;P$49,0,MAX($AB13/P$47,$AE13/P$48)/'Top Level Case Parameters'!$D28)</f>
        <v>202.2222222222222</v>
      </c>
      <c r="Q77" s="57">
        <f>IF($AD13&gt;Q$49,0,MAX($AB13/Q$47,$AE13/Q$48)/'Top Level Case Parameters'!$D28)</f>
        <v>132.70833333333334</v>
      </c>
      <c r="R77" s="57">
        <f>IF($AD13&gt;R$49,0,MAX($AB13/R$47,$AE13/R$48)/'Top Level Case Parameters'!$D28)</f>
        <v>0</v>
      </c>
      <c r="S77" s="57">
        <f>IF($AD13&gt;S$49,0,MAX($AB13/S$47,$AE13/S$48)/'Top Level Case Parameters'!$D28)</f>
        <v>0</v>
      </c>
      <c r="T77" s="57">
        <f>IF($AD13&gt;T$49,0,MAX($AB13/T$47,$AE13/T$48)/'Top Level Case Parameters'!$D28)</f>
        <v>0</v>
      </c>
      <c r="U77" s="57">
        <f>IF($AD13&gt;U$49,0,MAX($AB13/U$47,$AE13/U$48)/'Top Level Case Parameters'!$D28)</f>
        <v>0</v>
      </c>
      <c r="V77" s="57">
        <f>IF($AD13&gt;V$49,0,MAX($AB13/V$47,$AE13/V$48)/'Top Level Case Parameters'!$D28)</f>
        <v>49.96078431372549</v>
      </c>
      <c r="W77" s="57">
        <f>IF($AD13&gt;W$49,0,MAX($AB13/W$47,$AE13/W$48)/'Top Level Case Parameters'!$D28)</f>
        <v>0</v>
      </c>
    </row>
    <row r="78" spans="1:23" x14ac:dyDescent="0.55000000000000004">
      <c r="A78" s="143"/>
      <c r="B78" s="8" t="s">
        <v>42</v>
      </c>
      <c r="C78" s="57">
        <f>IF($AD14&gt;C$49,0,MAX($AB14/C$47,$AE14/C$48)/'Top Level Case Parameters'!$D29)</f>
        <v>0</v>
      </c>
      <c r="D78" s="57">
        <f>IF($AD14&gt;D$49,0,MAX($AB14/D$47,$AE14/D$48)/'Top Level Case Parameters'!$D29)</f>
        <v>3445.9018867924524</v>
      </c>
      <c r="E78" s="57">
        <f>IF($AD14&gt;E$49,0,MAX($AB14/E$47,$AE14/E$48)/'Top Level Case Parameters'!$D29)</f>
        <v>1141.4549999999999</v>
      </c>
      <c r="F78" s="57">
        <f>IF($AD14&gt;F$49,0,MAX($AB14/F$47,$AE14/F$48)/'Top Level Case Parameters'!$D29)</f>
        <v>1217.5520000000001</v>
      </c>
      <c r="G78" s="57">
        <f>IF($AD14&gt;G$49,0,MAX($AB14/G$47,$AE14/G$48)/'Top Level Case Parameters'!$D29)</f>
        <v>608.77600000000007</v>
      </c>
      <c r="H78" s="57">
        <f>IF($AD14&gt;H$49,0,MAX($AB14/H$47,$AE14/H$48)/'Top Level Case Parameters'!$D29)</f>
        <v>1630.65</v>
      </c>
      <c r="I78" s="57">
        <f>IF($AD14&gt;I$49,0,MAX($AB14/I$47,$AE14/I$48)/'Top Level Case Parameters'!$D29)</f>
        <v>2922.1248000000001</v>
      </c>
      <c r="J78" s="57">
        <f>IF($AD14&gt;J$49,0,MAX($AB14/J$47,$AE14/J$48)/'Top Level Case Parameters'!$D29)</f>
        <v>13680.359550561796</v>
      </c>
      <c r="K78" s="57">
        <f>IF($AD14&gt;K$49,0,MAX($AB14/K$47,$AE14/K$48)/'Top Level Case Parameters'!$D29)</f>
        <v>1426.8187499999999</v>
      </c>
      <c r="L78" s="57">
        <f>IF($AD14&gt;L$49,0,MAX($AB14/L$47,$AE14/L$48)/'Top Level Case Parameters'!$D29)</f>
        <v>2809.7353846153846</v>
      </c>
      <c r="M78" s="57">
        <f>IF($AD14&gt;M$49,0,MAX($AB14/M$47,$AE14/M$48)/'Top Level Case Parameters'!$D29)</f>
        <v>30438.799999999999</v>
      </c>
      <c r="N78" s="57">
        <f>IF($AD14&gt;N$49,0,MAX($AB14/N$47,$AE14/N$48)/'Top Level Case Parameters'!$D29)</f>
        <v>45658.2</v>
      </c>
      <c r="O78" s="57">
        <f>IF($AD14&gt;O$49,0,MAX($AB14/O$47,$AE14/O$48)/'Top Level Case Parameters'!$D29)</f>
        <v>91316.4</v>
      </c>
      <c r="P78" s="57">
        <f>IF($AD14&gt;P$49,0,MAX($AB14/P$47,$AE14/P$48)/'Top Level Case Parameters'!$D29)</f>
        <v>1087.0999999999999</v>
      </c>
      <c r="Q78" s="57">
        <f>IF($AD14&gt;Q$49,0,MAX($AB14/Q$47,$AE14/Q$48)/'Top Level Case Parameters'!$D29)</f>
        <v>713.40937499999995</v>
      </c>
      <c r="R78" s="57">
        <f>IF($AD14&gt;R$49,0,MAX($AB14/R$47,$AE14/R$48)/'Top Level Case Parameters'!$D29)</f>
        <v>7609.7</v>
      </c>
      <c r="S78" s="57">
        <f>IF($AD14&gt;S$49,0,MAX($AB14/S$47,$AE14/S$48)/'Top Level Case Parameters'!$D29)</f>
        <v>11688.4992</v>
      </c>
      <c r="T78" s="57">
        <f>IF($AD14&gt;T$49,0,MAX($AB14/T$47,$AE14/T$48)/'Top Level Case Parameters'!$D29)</f>
        <v>1268.2833333333333</v>
      </c>
      <c r="U78" s="57">
        <f>IF($AD14&gt;U$49,0,MAX($AB14/U$47,$AE14/U$48)/'Top Level Case Parameters'!$D29)</f>
        <v>1071.1601173020529</v>
      </c>
      <c r="V78" s="57">
        <f>IF($AD14&gt;V$49,0,MAX($AB14/V$47,$AE14/V$48)/'Top Level Case Parameters'!$D29)</f>
        <v>268.57764705882357</v>
      </c>
      <c r="W78" s="57">
        <f>IF($AD14&gt;W$49,0,MAX($AB14/W$47,$AE14/W$48)/'Top Level Case Parameters'!$D29)</f>
        <v>1714.861971830986</v>
      </c>
    </row>
    <row r="79" spans="1:23" x14ac:dyDescent="0.55000000000000004">
      <c r="A79" s="143"/>
      <c r="B79" s="11"/>
      <c r="C79" s="11"/>
      <c r="D79" s="56"/>
    </row>
    <row r="80" spans="1:23" x14ac:dyDescent="0.55000000000000004">
      <c r="A80" s="143"/>
      <c r="B80" s="144" t="s">
        <v>139</v>
      </c>
      <c r="C80" s="144"/>
      <c r="D80" s="144"/>
      <c r="E80" s="144"/>
      <c r="F80" s="144"/>
      <c r="G80" s="144"/>
      <c r="H80" s="144"/>
      <c r="I80" s="144"/>
      <c r="J80" s="144"/>
      <c r="K80" s="144"/>
      <c r="L80" s="144"/>
      <c r="M80" s="144"/>
      <c r="N80" s="144"/>
      <c r="O80" s="144"/>
      <c r="P80" s="144"/>
      <c r="Q80" s="144"/>
      <c r="R80" s="144"/>
      <c r="S80" s="144"/>
      <c r="T80" s="144"/>
      <c r="U80" s="144"/>
      <c r="V80" s="144"/>
      <c r="W80" s="144"/>
    </row>
    <row r="81" spans="1:47" ht="14.7" thickBot="1" x14ac:dyDescent="0.6">
      <c r="A81" s="143"/>
      <c r="B81" s="17" t="s">
        <v>134</v>
      </c>
      <c r="C81" t="str">
        <f>'Top Level Case Parameters'!B$34</f>
        <v>Virtex-5QV</v>
      </c>
      <c r="D81" t="str">
        <f>'Top Level Case Parameters'!C$34</f>
        <v>RTG4</v>
      </c>
      <c r="E81" t="str">
        <f>'Top Level Case Parameters'!D$34</f>
        <v>Polarfire</v>
      </c>
      <c r="F81" t="str">
        <f>'Top Level Case Parameters'!E$34</f>
        <v>Kintex-7Q</v>
      </c>
      <c r="G81" t="str">
        <f>'Top Level Case Parameters'!F$34</f>
        <v>Virtex-7Q</v>
      </c>
      <c r="H81" t="str">
        <f>'Top Level Case Parameters'!G$34</f>
        <v>RT Kintex Ultrascale</v>
      </c>
      <c r="I81" t="str">
        <f>'Top Level Case Parameters'!H$34</f>
        <v>NG-Ultra</v>
      </c>
      <c r="J81" t="str">
        <f>'Top Level Case Parameters'!I$34</f>
        <v>SmartFusion2</v>
      </c>
      <c r="K81" t="str">
        <f>'Top Level Case Parameters'!J$34</f>
        <v>Tegra X1</v>
      </c>
      <c r="L81" t="str">
        <f>'Top Level Case Parameters'!K$34</f>
        <v>RAD5545</v>
      </c>
      <c r="M81" t="str">
        <f>'Top Level Case Parameters'!L$34</f>
        <v>RAD750</v>
      </c>
      <c r="N81" t="str">
        <f>'Top Level Case Parameters'!M$34</f>
        <v>GR740</v>
      </c>
      <c r="O81" t="str">
        <f>'Top Level Case Parameters'!N$34</f>
        <v>GR712RC</v>
      </c>
      <c r="P81" t="str">
        <f>'Top Level Case Parameters'!O$34</f>
        <v>LS1046-Space</v>
      </c>
      <c r="Q81" t="str">
        <f>'Top Level Case Parameters'!P$34</f>
        <v>HPSC</v>
      </c>
      <c r="R81" t="str">
        <f>'Top Level Case Parameters'!Q$34</f>
        <v>E698PM</v>
      </c>
      <c r="S81" t="str">
        <f>'Top Level Case Parameters'!R$34</f>
        <v>RC64</v>
      </c>
      <c r="T81" t="str">
        <f>'Top Level Case Parameters'!S$34</f>
        <v>TI 66AK2Hxx</v>
      </c>
      <c r="U81" t="str">
        <f>'Top Level Case Parameters'!T$34</f>
        <v>SnapDragon 855</v>
      </c>
      <c r="V81" t="str">
        <f>'Top Level Case Parameters'!U$34</f>
        <v>XQR Versal</v>
      </c>
      <c r="W81" t="str">
        <f>'Top Level Case Parameters'!V$34</f>
        <v>HISAOR</v>
      </c>
      <c r="Z81" s="17" t="s">
        <v>172</v>
      </c>
    </row>
    <row r="82" spans="1:47" x14ac:dyDescent="0.55000000000000004">
      <c r="A82" s="143"/>
      <c r="B82" s="5" t="s">
        <v>31</v>
      </c>
      <c r="C82" s="57">
        <f>IF($V3&gt;C$49,0,MAX($T3/C$47,$W3/C$48)/'Top Level Case Parameters'!$H18)</f>
        <v>0</v>
      </c>
      <c r="D82" s="58">
        <f>IF($V3&gt;D$49,0,MAX($T3/D$47,$W3/D$48)/'Top Level Case Parameters'!$H18)</f>
        <v>543.20193690566032</v>
      </c>
      <c r="E82" s="58">
        <f>IF($V3&gt;E$49,0,MAX($T3/E$47,$W3/E$48)/'Top Level Case Parameters'!$H18)</f>
        <v>179.9356416</v>
      </c>
      <c r="F82" s="58">
        <f>IF($V3&gt;F$49,0,MAX($T3/F$47,$W3/F$48)/'Top Level Case Parameters'!$H18)</f>
        <v>191.93135104000001</v>
      </c>
      <c r="G82" s="58">
        <f>IF($V3&gt;G$49,0,MAX($T3/G$47,$W3/G$48)/'Top Level Case Parameters'!$H18)</f>
        <v>95.965675520000005</v>
      </c>
      <c r="H82" s="58">
        <f>IF($V3&gt;H$49,0,MAX($T3/H$47,$W3/H$48)/'Top Level Case Parameters'!$H18)</f>
        <v>257.05091657142856</v>
      </c>
      <c r="I82" s="58">
        <f>IF($V3&gt;I$49,0,MAX($T3/I$47,$W3/I$48)/'Top Level Case Parameters'!$H18)</f>
        <v>528.0479171671318</v>
      </c>
      <c r="J82" s="58">
        <f>IF($V3&gt;J$49,0,MAX($T3/J$47,$W3/J$48)/'Top Level Case Parameters'!$H18)</f>
        <v>2156.5320341573033</v>
      </c>
      <c r="K82" s="58">
        <f>IF($V3&gt;K$49,0,MAX($T3/K$47,$W3/K$48)/'Top Level Case Parameters'!$H18)</f>
        <v>224.91955200000001</v>
      </c>
      <c r="L82" s="58">
        <f>IF($V3&gt;L$49,0,MAX($T3/L$47,$W3/L$48)/'Top Level Case Parameters'!$H18)</f>
        <v>30683.865457009008</v>
      </c>
      <c r="M82" s="58">
        <f>IF($V3&gt;M$49,0,MAX($T3/M$47,$W3/M$48)/'Top Level Case Parameters'!$H18)</f>
        <v>567651.51095466665</v>
      </c>
      <c r="N82" s="58">
        <f>IF($V3&gt;N$49,0,MAX($T3/N$47,$W3/N$48)/'Top Level Case Parameters'!$H18)</f>
        <v>113530.30219093333</v>
      </c>
      <c r="O82" s="58">
        <f>IF($V3&gt;O$49,0,MAX($T3/O$47,$W3/O$48)/'Top Level Case Parameters'!$H18)</f>
        <v>567651.51095466665</v>
      </c>
      <c r="P82" s="58">
        <f>IF($V3&gt;P$49,0,MAX($T3/P$47,$W3/P$48)/'Top Level Case Parameters'!$H18)</f>
        <v>1971.0121908148149</v>
      </c>
      <c r="Q82" s="58">
        <f>IF($V3&gt;Q$49,0,MAX($T3/Q$47,$W3/Q$48)/'Top Level Case Parameters'!$H18)</f>
        <v>886.95548586666666</v>
      </c>
      <c r="R82" s="58">
        <f>IF($V3&gt;R$49,0,MAX($T3/R$47,$W3/R$48)/'Top Level Case Parameters'!$H18)</f>
        <v>126144.78021214815</v>
      </c>
      <c r="S82" s="58">
        <f>IF($V3&gt;S$49,0,MAX($T3/S$47,$W3/S$48)/'Top Level Case Parameters'!$H18)</f>
        <v>4541.2120876373338</v>
      </c>
      <c r="T82" s="58">
        <f>IF($V3&gt;T$49,0,MAX($T3/T$47,$W3/T$48)/'Top Level Case Parameters'!$H18)</f>
        <v>199.92849066666668</v>
      </c>
      <c r="U82" s="58">
        <f>IF($V3&gt;U$49,0,MAX($T3/U$47,$W3/U$48)/'Top Level Case Parameters'!$H18)</f>
        <v>168.85456103225806</v>
      </c>
      <c r="V82" s="58">
        <f>IF($V3&gt;V$49,0,MAX($T3/V$47,$W3/V$48)/'Top Level Case Parameters'!$H18)</f>
        <v>42.337798023529416</v>
      </c>
      <c r="W82" s="59">
        <f>IF($V3&gt;W$49,0,MAX($T3/W$47,$W3/W$48)/'Top Level Case Parameters'!$H18)</f>
        <v>1773.9109717333333</v>
      </c>
      <c r="Z82" t="s">
        <v>144</v>
      </c>
    </row>
    <row r="83" spans="1:47" x14ac:dyDescent="0.55000000000000004">
      <c r="A83" s="143"/>
      <c r="B83" s="3" t="s">
        <v>32</v>
      </c>
      <c r="C83" s="60">
        <f>IF($V4&gt;C$49,0,MAX($T4/C$47,$W4/C$48)/'Top Level Case Parameters'!$H19)</f>
        <v>0</v>
      </c>
      <c r="D83" s="55">
        <f>IF($V4&gt;D$49,0,MAX($T4/D$47,$W4/D$48)/'Top Level Case Parameters'!$H19)</f>
        <v>0</v>
      </c>
      <c r="E83" s="55">
        <f>IF($V4&gt;E$49,0,MAX($T4/E$47,$W4/E$48)/'Top Level Case Parameters'!$H19)</f>
        <v>0</v>
      </c>
      <c r="F83" s="55">
        <f>IF($V4&gt;F$49,0,MAX($T4/F$47,$W4/F$48)/'Top Level Case Parameters'!$H19)</f>
        <v>0</v>
      </c>
      <c r="G83" s="55">
        <f>IF($V4&gt;G$49,0,MAX($T4/G$47,$W4/G$48)/'Top Level Case Parameters'!$H19)</f>
        <v>153.22666666666666</v>
      </c>
      <c r="H83" s="55">
        <f>IF($V4&gt;H$49,0,MAX($T4/H$47,$W4/H$48)/'Top Level Case Parameters'!$H19)</f>
        <v>410.42857142857144</v>
      </c>
      <c r="I83" s="55">
        <f>IF($V4&gt;I$49,0,MAX($T4/I$47,$W4/I$48)/'Top Level Case Parameters'!$H19)</f>
        <v>735.48799999999994</v>
      </c>
      <c r="J83" s="55">
        <f>IF($V4&gt;J$49,0,MAX($T4/J$47,$W4/J$48)/'Top Level Case Parameters'!$H19)</f>
        <v>0</v>
      </c>
      <c r="K83" s="55">
        <f>IF($V4&gt;K$49,0,MAX($T4/K$47,$W4/K$48)/'Top Level Case Parameters'!$H19)</f>
        <v>0</v>
      </c>
      <c r="L83" s="55">
        <f>IF($V4&gt;L$49,0,MAX($T4/L$47,$W4/L$48)/'Top Level Case Parameters'!$H19)</f>
        <v>707.2</v>
      </c>
      <c r="M83" s="55">
        <f>IF($V4&gt;M$49,0,MAX($T4/M$47,$W4/M$48)/'Top Level Case Parameters'!$H19)</f>
        <v>0</v>
      </c>
      <c r="N83" s="55">
        <f>IF($V4&gt;N$49,0,MAX($T4/N$47,$W4/N$48)/'Top Level Case Parameters'!$H19)</f>
        <v>0</v>
      </c>
      <c r="O83" s="55">
        <f>IF($V4&gt;O$49,0,MAX($T4/O$47,$W4/O$48)/'Top Level Case Parameters'!$H19)</f>
        <v>0</v>
      </c>
      <c r="P83" s="55">
        <f>IF($V4&gt;P$49,0,MAX($T4/P$47,$W4/P$48)/'Top Level Case Parameters'!$H19)</f>
        <v>273.61904761904765</v>
      </c>
      <c r="Q83" s="55">
        <f>IF($V4&gt;Q$49,0,MAX($T4/Q$47,$W4/Q$48)/'Top Level Case Parameters'!$H19)</f>
        <v>179.5625</v>
      </c>
      <c r="R83" s="55">
        <f>IF($V4&gt;R$49,0,MAX($T4/R$47,$W4/R$48)/'Top Level Case Parameters'!$H19)</f>
        <v>0</v>
      </c>
      <c r="S83" s="55">
        <f>IF($V4&gt;S$49,0,MAX($T4/S$47,$W4/S$48)/'Top Level Case Parameters'!$H19)</f>
        <v>0</v>
      </c>
      <c r="T83" s="55">
        <f>IF($V4&gt;T$49,0,MAX($T4/T$47,$W4/T$48)/'Top Level Case Parameters'!$H19)</f>
        <v>0</v>
      </c>
      <c r="U83" s="55">
        <f>IF($V4&gt;U$49,0,MAX($T4/U$47,$W4/U$48)/'Top Level Case Parameters'!$H19)</f>
        <v>0</v>
      </c>
      <c r="V83" s="55">
        <f>IF($V4&gt;V$49,0,MAX($T4/V$47,$W4/V$48)/'Top Level Case Parameters'!$H19)</f>
        <v>67.599999999999994</v>
      </c>
      <c r="W83" s="61">
        <f>IF($V4&gt;W$49,0,MAX($T4/W$47,$W4/W$48)/'Top Level Case Parameters'!$H19)</f>
        <v>0</v>
      </c>
      <c r="Z83" t="s">
        <v>143</v>
      </c>
    </row>
    <row r="84" spans="1:47" x14ac:dyDescent="0.55000000000000004">
      <c r="A84" s="143"/>
      <c r="B84" s="3" t="s">
        <v>33</v>
      </c>
      <c r="C84" s="60">
        <f>IF($V5&gt;C$49,0,MAX($T5/C$47,$W5/C$48)/'Top Level Case Parameters'!$H20)</f>
        <v>0</v>
      </c>
      <c r="D84" s="55">
        <f>IF($V5&gt;D$49,0,MAX($T5/D$47,$W5/D$48)/'Top Level Case Parameters'!$H20)</f>
        <v>0</v>
      </c>
      <c r="E84" s="55">
        <f>IF($V5&gt;E$49,0,MAX($T5/E$47,$W5/E$48)/'Top Level Case Parameters'!$H20)</f>
        <v>0</v>
      </c>
      <c r="F84" s="55">
        <f>IF($V5&gt;F$49,0,MAX($T5/F$47,$W5/F$48)/'Top Level Case Parameters'!$H20)</f>
        <v>0</v>
      </c>
      <c r="G84" s="55">
        <f>IF($V5&gt;G$49,0,MAX($T5/G$47,$W5/G$48)/'Top Level Case Parameters'!$H20)</f>
        <v>1.9528888888888889</v>
      </c>
      <c r="H84" s="55">
        <f>IF($V5&gt;H$49,0,MAX($T5/H$47,$W5/H$48)/'Top Level Case Parameters'!$H20)</f>
        <v>5.230952380952381</v>
      </c>
      <c r="I84" s="55">
        <f>IF($V5&gt;I$49,0,MAX($T5/I$47,$W5/I$48)/'Top Level Case Parameters'!$H20)</f>
        <v>9.3738666666666663</v>
      </c>
      <c r="J84" s="55">
        <f>IF($V5&gt;J$49,0,MAX($T5/J$47,$W5/J$48)/'Top Level Case Parameters'!$H20)</f>
        <v>0</v>
      </c>
      <c r="K84" s="55">
        <f>IF($V5&gt;K$49,0,MAX($T5/K$47,$W5/K$48)/'Top Level Case Parameters'!$H20)</f>
        <v>0</v>
      </c>
      <c r="L84" s="55">
        <f>IF($V5&gt;L$49,0,MAX($T5/L$47,$W5/L$48)/'Top Level Case Parameters'!$H20)</f>
        <v>9.0133333333333336</v>
      </c>
      <c r="M84" s="55">
        <f>IF($V5&gt;M$49,0,MAX($T5/M$47,$W5/M$48)/'Top Level Case Parameters'!$H20)</f>
        <v>0</v>
      </c>
      <c r="N84" s="55">
        <f>IF($V5&gt;N$49,0,MAX($T5/N$47,$W5/N$48)/'Top Level Case Parameters'!$H20)</f>
        <v>0</v>
      </c>
      <c r="O84" s="55">
        <f>IF($V5&gt;O$49,0,MAX($T5/O$47,$W5/O$48)/'Top Level Case Parameters'!$H20)</f>
        <v>0</v>
      </c>
      <c r="P84" s="55">
        <f>IF($V5&gt;P$49,0,MAX($T5/P$47,$W5/P$48)/'Top Level Case Parameters'!$H20)</f>
        <v>3.4873015873015873</v>
      </c>
      <c r="Q84" s="55">
        <f>IF($V5&gt;Q$49,0,MAX($T5/Q$47,$W5/Q$48)/'Top Level Case Parameters'!$H20)</f>
        <v>2.2885416666666667</v>
      </c>
      <c r="R84" s="55">
        <f>IF($V5&gt;R$49,0,MAX($T5/R$47,$W5/R$48)/'Top Level Case Parameters'!$H20)</f>
        <v>0</v>
      </c>
      <c r="S84" s="55">
        <f>IF($V5&gt;S$49,0,MAX($T5/S$47,$W5/S$48)/'Top Level Case Parameters'!$H20)</f>
        <v>0</v>
      </c>
      <c r="T84" s="55">
        <f>IF($V5&gt;T$49,0,MAX($T5/T$47,$W5/T$48)/'Top Level Case Parameters'!$H20)</f>
        <v>0</v>
      </c>
      <c r="U84" s="55">
        <f>IF($V5&gt;U$49,0,MAX($T5/U$47,$W5/U$48)/'Top Level Case Parameters'!$H20)</f>
        <v>0</v>
      </c>
      <c r="V84" s="55">
        <f>IF($V5&gt;V$49,0,MAX($T5/V$47,$W5/V$48)/'Top Level Case Parameters'!$H20)</f>
        <v>0.86156862745098051</v>
      </c>
      <c r="W84" s="61">
        <f>IF($V5&gt;W$49,0,MAX($T5/W$47,$W5/W$48)/'Top Level Case Parameters'!$H20)</f>
        <v>0</v>
      </c>
      <c r="Z84" t="s">
        <v>178</v>
      </c>
    </row>
    <row r="85" spans="1:47" x14ac:dyDescent="0.55000000000000004">
      <c r="A85" s="143"/>
      <c r="B85" s="3" t="s">
        <v>34</v>
      </c>
      <c r="C85" s="60">
        <f>IF($V6&gt;C$49,0,MAX($T6/C$47,$W6/C$48)/'Top Level Case Parameters'!$H21)</f>
        <v>0</v>
      </c>
      <c r="D85" s="55">
        <f>IF($V6&gt;D$49,0,MAX($T6/D$47,$W6/D$48)/'Top Level Case Parameters'!$H21)</f>
        <v>0</v>
      </c>
      <c r="E85" s="55">
        <f>IF($V6&gt;E$49,0,MAX($T6/E$47,$W6/E$48)/'Top Level Case Parameters'!$H21)</f>
        <v>0</v>
      </c>
      <c r="F85" s="55">
        <f>IF($V6&gt;F$49,0,MAX($T6/F$47,$W6/F$48)/'Top Level Case Parameters'!$H21)</f>
        <v>0</v>
      </c>
      <c r="G85" s="55">
        <f>IF($V6&gt;G$49,0,MAX($T6/G$47,$W6/G$48)/'Top Level Case Parameters'!$H21)</f>
        <v>7.0720000000000001</v>
      </c>
      <c r="H85" s="55">
        <f>IF($V6&gt;H$49,0,MAX($T6/H$47,$W6/H$48)/'Top Level Case Parameters'!$H21)</f>
        <v>18.942857142857143</v>
      </c>
      <c r="I85" s="55">
        <f>IF($V6&gt;I$49,0,MAX($T6/I$47,$W6/I$48)/'Top Level Case Parameters'!$H21)</f>
        <v>33.945599999999999</v>
      </c>
      <c r="J85" s="55">
        <f>IF($V6&gt;J$49,0,MAX($T6/J$47,$W6/J$48)/'Top Level Case Parameters'!$H21)</f>
        <v>0</v>
      </c>
      <c r="K85" s="55">
        <f>IF($V6&gt;K$49,0,MAX($T6/K$47,$W6/K$48)/'Top Level Case Parameters'!$H21)</f>
        <v>0</v>
      </c>
      <c r="L85" s="55">
        <f>IF($V6&gt;L$49,0,MAX($T6/L$47,$W6/L$48)/'Top Level Case Parameters'!$H21)</f>
        <v>32.64</v>
      </c>
      <c r="M85" s="55">
        <f>IF($V6&gt;M$49,0,MAX($T6/M$47,$W6/M$48)/'Top Level Case Parameters'!$H21)</f>
        <v>0</v>
      </c>
      <c r="N85" s="55">
        <f>IF($V6&gt;N$49,0,MAX($T6/N$47,$W6/N$48)/'Top Level Case Parameters'!$H21)</f>
        <v>0</v>
      </c>
      <c r="O85" s="55">
        <f>IF($V6&gt;O$49,0,MAX($T6/O$47,$W6/O$48)/'Top Level Case Parameters'!$H21)</f>
        <v>0</v>
      </c>
      <c r="P85" s="55">
        <f>IF($V6&gt;P$49,0,MAX($T6/P$47,$W6/P$48)/'Top Level Case Parameters'!$H21)</f>
        <v>12.628571428571428</v>
      </c>
      <c r="Q85" s="55">
        <f>IF($V6&gt;Q$49,0,MAX($T6/Q$47,$W6/Q$48)/'Top Level Case Parameters'!$H21)</f>
        <v>8.2874999999999996</v>
      </c>
      <c r="R85" s="55">
        <f>IF($V6&gt;R$49,0,MAX($T6/R$47,$W6/R$48)/'Top Level Case Parameters'!$H21)</f>
        <v>0</v>
      </c>
      <c r="S85" s="55">
        <f>IF($V6&gt;S$49,0,MAX($T6/S$47,$W6/S$48)/'Top Level Case Parameters'!$H21)</f>
        <v>0</v>
      </c>
      <c r="T85" s="55">
        <f>IF($V6&gt;T$49,0,MAX($T6/T$47,$W6/T$48)/'Top Level Case Parameters'!$H21)</f>
        <v>0</v>
      </c>
      <c r="U85" s="55">
        <f>IF($V6&gt;U$49,0,MAX($T6/U$47,$W6/U$48)/'Top Level Case Parameters'!$H21)</f>
        <v>0</v>
      </c>
      <c r="V85" s="55">
        <f>IF($V6&gt;V$49,0,MAX($T6/V$47,$W6/V$48)/'Top Level Case Parameters'!$H21)</f>
        <v>3.12</v>
      </c>
      <c r="W85" s="61">
        <f>IF($V6&gt;W$49,0,MAX($T6/W$47,$W6/W$48)/'Top Level Case Parameters'!$H21)</f>
        <v>0</v>
      </c>
      <c r="Z85" t="s">
        <v>174</v>
      </c>
    </row>
    <row r="86" spans="1:47" x14ac:dyDescent="0.55000000000000004">
      <c r="A86" s="143"/>
      <c r="B86" s="3" t="s">
        <v>35</v>
      </c>
      <c r="C86" s="60">
        <f>IF($V7&gt;C$49,0,MAX($T7/C$47,$W7/C$48)/'Top Level Case Parameters'!$H22)</f>
        <v>3.0599999999999998E-3</v>
      </c>
      <c r="D86" s="55">
        <f>IF($V7&gt;D$49,0,MAX($T7/D$47,$W7/D$48)/'Top Level Case Parameters'!$H22)</f>
        <v>4.6188679245283016E-3</v>
      </c>
      <c r="E86" s="55">
        <f>IF($V7&gt;E$49,0,MAX($T7/E$47,$W7/E$48)/'Top Level Case Parameters'!$H22)</f>
        <v>1.5299999999999999E-3</v>
      </c>
      <c r="F86" s="55">
        <f>IF($V7&gt;F$49,0,MAX($T7/F$47,$W7/F$48)/'Top Level Case Parameters'!$H22)</f>
        <v>1.632E-3</v>
      </c>
      <c r="G86" s="55">
        <f>IF($V7&gt;G$49,0,MAX($T7/G$47,$W7/G$48)/'Top Level Case Parameters'!$H22)</f>
        <v>8.1599999999999999E-4</v>
      </c>
      <c r="H86" s="55">
        <f>IF($V7&gt;H$49,0,MAX($T7/H$47,$W7/H$48)/'Top Level Case Parameters'!$H22)</f>
        <v>2.1857142857142856E-3</v>
      </c>
      <c r="I86" s="55">
        <f>IF($V7&gt;I$49,0,MAX($T7/I$47,$W7/I$48)/'Top Level Case Parameters'!$H22)</f>
        <v>3.9167999999999998E-3</v>
      </c>
      <c r="J86" s="55">
        <f>IF($V7&gt;J$49,0,MAX($T7/J$47,$W7/J$48)/'Top Level Case Parameters'!$H22)</f>
        <v>1.8337078651685393E-2</v>
      </c>
      <c r="K86" s="55">
        <f>IF($V7&gt;K$49,0,MAX($T7/K$47,$W7/K$48)/'Top Level Case Parameters'!$H22)</f>
        <v>1.9124999999999999E-3</v>
      </c>
      <c r="L86" s="55">
        <f>IF($V7&gt;L$49,0,MAX($T7/L$47,$W7/L$48)/'Top Level Case Parameters'!$H22)</f>
        <v>3.7661538461538462E-3</v>
      </c>
      <c r="M86" s="55">
        <f>IF($V7&gt;M$49,0,MAX($T7/M$47,$W7/M$48)/'Top Level Case Parameters'!$H22)</f>
        <v>6.1199999999999997E-2</v>
      </c>
      <c r="N86" s="55">
        <f>IF($V7&gt;N$49,0,MAX($T7/N$47,$W7/N$48)/'Top Level Case Parameters'!$H22)</f>
        <v>6.1199999999999997E-2</v>
      </c>
      <c r="O86" s="55">
        <f>IF($V7&gt;O$49,0,MAX($T7/O$47,$W7/O$48)/'Top Level Case Parameters'!$H22)</f>
        <v>0.12239999999999999</v>
      </c>
      <c r="P86" s="55">
        <f>IF($V7&gt;P$49,0,MAX($T7/P$47,$W7/P$48)/'Top Level Case Parameters'!$H22)</f>
        <v>1.4571428571428572E-3</v>
      </c>
      <c r="Q86" s="55">
        <f>IF($V7&gt;Q$49,0,MAX($T7/Q$47,$W7/Q$48)/'Top Level Case Parameters'!$H22)</f>
        <v>9.5624999999999996E-4</v>
      </c>
      <c r="R86" s="55">
        <f>IF($V7&gt;R$49,0,MAX($T7/R$47,$W7/R$48)/'Top Level Case Parameters'!$H22)</f>
        <v>1.3599999999999999E-2</v>
      </c>
      <c r="S86" s="55">
        <f>IF($V7&gt;S$49,0,MAX($T7/S$47,$W7/S$48)/'Top Level Case Parameters'!$H22)</f>
        <v>1.5667199999999999E-2</v>
      </c>
      <c r="T86" s="55">
        <f>IF($V7&gt;T$49,0,MAX($T7/T$47,$W7/T$48)/'Top Level Case Parameters'!$H22)</f>
        <v>1.6999999999999999E-3</v>
      </c>
      <c r="U86" s="55">
        <f>IF($V7&gt;U$49,0,MAX($T7/U$47,$W7/U$48)/'Top Level Case Parameters'!$H22)</f>
        <v>1.4357771260997067E-3</v>
      </c>
      <c r="V86" s="55">
        <f>IF($V7&gt;V$49,0,MAX($T7/V$47,$W7/V$48)/'Top Level Case Parameters'!$H22)</f>
        <v>3.6000000000000002E-4</v>
      </c>
      <c r="W86" s="61">
        <f>IF($V7&gt;W$49,0,MAX($T7/W$47,$W7/W$48)/'Top Level Case Parameters'!$H22)</f>
        <v>2.2985915492957747E-3</v>
      </c>
      <c r="Z86" t="s">
        <v>145</v>
      </c>
    </row>
    <row r="87" spans="1:47" x14ac:dyDescent="0.55000000000000004">
      <c r="A87" s="143"/>
      <c r="B87" s="3" t="s">
        <v>36</v>
      </c>
      <c r="C87" s="60">
        <f>IF($V8&gt;C$49,0,MAX($T8/C$47,$W8/C$48)/'Top Level Case Parameters'!$H23)</f>
        <v>0</v>
      </c>
      <c r="D87" s="55">
        <f>IF($V8&gt;D$49,0,MAX($T8/D$47,$W8/D$48)/'Top Level Case Parameters'!$H23)</f>
        <v>0</v>
      </c>
      <c r="E87" s="55">
        <f>IF($V8&gt;E$49,0,MAX($T8/E$47,$W8/E$48)/'Top Level Case Parameters'!$H23)</f>
        <v>0</v>
      </c>
      <c r="F87" s="55">
        <f>IF($V8&gt;F$49,0,MAX($T8/F$47,$W8/F$48)/'Top Level Case Parameters'!$H23)</f>
        <v>0</v>
      </c>
      <c r="G87" s="55">
        <f>IF($V8&gt;G$49,0,MAX($T8/G$47,$W8/G$48)/'Top Level Case Parameters'!$H23)</f>
        <v>91936</v>
      </c>
      <c r="H87" s="55">
        <f>IF($V8&gt;H$49,0,MAX($T8/H$47,$W8/H$48)/'Top Level Case Parameters'!$H23)</f>
        <v>246257.14285714287</v>
      </c>
      <c r="I87" s="55">
        <f>IF($V8&gt;I$49,0,MAX($T8/I$47,$W8/I$48)/'Top Level Case Parameters'!$H23)</f>
        <v>441292.79999999999</v>
      </c>
      <c r="J87" s="55">
        <f>IF($V8&gt;J$49,0,MAX($T8/J$47,$W8/J$48)/'Top Level Case Parameters'!$H23)</f>
        <v>0</v>
      </c>
      <c r="K87" s="55">
        <f>IF($V8&gt;K$49,0,MAX($T8/K$47,$W8/K$48)/'Top Level Case Parameters'!$H23)</f>
        <v>0</v>
      </c>
      <c r="L87" s="55">
        <f>IF($V8&gt;L$49,0,MAX($T8/L$47,$W8/L$48)/'Top Level Case Parameters'!$H23)</f>
        <v>424320</v>
      </c>
      <c r="M87" s="55">
        <f>IF($V8&gt;M$49,0,MAX($T8/M$47,$W8/M$48)/'Top Level Case Parameters'!$H23)</f>
        <v>0</v>
      </c>
      <c r="N87" s="55">
        <f>IF($V8&gt;N$49,0,MAX($T8/N$47,$W8/N$48)/'Top Level Case Parameters'!$H23)</f>
        <v>0</v>
      </c>
      <c r="O87" s="55">
        <f>IF($V8&gt;O$49,0,MAX($T8/O$47,$W8/O$48)/'Top Level Case Parameters'!$H23)</f>
        <v>0</v>
      </c>
      <c r="P87" s="55">
        <f>IF($V8&gt;P$49,0,MAX($T8/P$47,$W8/P$48)/'Top Level Case Parameters'!$H23)</f>
        <v>164171.42857142858</v>
      </c>
      <c r="Q87" s="55">
        <f>IF($V8&gt;Q$49,0,MAX($T8/Q$47,$W8/Q$48)/'Top Level Case Parameters'!$H23)</f>
        <v>107737.5</v>
      </c>
      <c r="R87" s="55">
        <f>IF($V8&gt;R$49,0,MAX($T8/R$47,$W8/R$48)/'Top Level Case Parameters'!$H23)</f>
        <v>0</v>
      </c>
      <c r="S87" s="55">
        <f>IF($V8&gt;S$49,0,MAX($T8/S$47,$W8/S$48)/'Top Level Case Parameters'!$H23)</f>
        <v>0</v>
      </c>
      <c r="T87" s="55">
        <f>IF($V8&gt;T$49,0,MAX($T8/T$47,$W8/T$48)/'Top Level Case Parameters'!$H23)</f>
        <v>0</v>
      </c>
      <c r="U87" s="55">
        <f>IF($V8&gt;U$49,0,MAX($T8/U$47,$W8/U$48)/'Top Level Case Parameters'!$H23)</f>
        <v>0</v>
      </c>
      <c r="V87" s="55">
        <f>IF($V8&gt;V$49,0,MAX($T8/V$47,$W8/V$48)/'Top Level Case Parameters'!$H23)</f>
        <v>40560</v>
      </c>
      <c r="W87" s="61">
        <f>IF($V8&gt;W$49,0,MAX($T8/W$47,$W8/W$48)/'Top Level Case Parameters'!$H23)</f>
        <v>0</v>
      </c>
      <c r="Z87" t="s">
        <v>146</v>
      </c>
    </row>
    <row r="88" spans="1:47" x14ac:dyDescent="0.55000000000000004">
      <c r="A88" s="143"/>
      <c r="B88" s="3" t="s">
        <v>37</v>
      </c>
      <c r="C88" s="60">
        <f>IF($V9&gt;C$49,0,MAX($T9/C$47,$W9/C$48)/'Top Level Case Parameters'!$H24)</f>
        <v>0</v>
      </c>
      <c r="D88" s="55">
        <f>IF($V9&gt;D$49,0,MAX($T9/D$47,$W9/D$48)/'Top Level Case Parameters'!$H24)</f>
        <v>31361.364972679246</v>
      </c>
      <c r="E88" s="55">
        <f>IF($V9&gt;E$49,0,MAX($T9/E$47,$W9/E$48)/'Top Level Case Parameters'!$H24)</f>
        <v>10388.4521472</v>
      </c>
      <c r="F88" s="55">
        <f>IF($V9&gt;F$49,0,MAX($T9/F$47,$W9/F$48)/'Top Level Case Parameters'!$H24)</f>
        <v>11081.015623679999</v>
      </c>
      <c r="G88" s="55">
        <f>IF($V9&gt;G$49,0,MAX($T9/G$47,$W9/G$48)/'Top Level Case Parameters'!$H24)</f>
        <v>5540.5078118399997</v>
      </c>
      <c r="H88" s="55">
        <f>IF($V9&gt;H$49,0,MAX($T9/H$47,$W9/H$48)/'Top Level Case Parameters'!$H24)</f>
        <v>14840.645924571429</v>
      </c>
      <c r="I88" s="55">
        <f>IF($V9&gt;I$49,0,MAX($T9/I$47,$W9/I$48)/'Top Level Case Parameters'!$H24)</f>
        <v>26594.437496832001</v>
      </c>
      <c r="J88" s="55">
        <f>IF($V9&gt;J$49,0,MAX($T9/J$47,$W9/J$48)/'Top Level Case Parameters'!$H24)</f>
        <v>124505.79352449438</v>
      </c>
      <c r="K88" s="55">
        <f>IF($V9&gt;K$49,0,MAX($T9/K$47,$W9/K$48)/'Top Level Case Parameters'!$H24)</f>
        <v>0</v>
      </c>
      <c r="L88" s="55">
        <f>IF($V9&gt;L$49,0,MAX($T9/L$47,$W9/L$48)/'Top Level Case Parameters'!$H24)</f>
        <v>25571.574516184617</v>
      </c>
      <c r="M88" s="55">
        <f>IF($V9&gt;M$49,0,MAX($T9/M$47,$W9/M$48)/'Top Level Case Parameters'!$H24)</f>
        <v>0</v>
      </c>
      <c r="N88" s="55">
        <f>IF($V9&gt;N$49,0,MAX($T9/N$47,$W9/N$48)/'Top Level Case Parameters'!$H24)</f>
        <v>0</v>
      </c>
      <c r="O88" s="55">
        <f>IF($V9&gt;O$49,0,MAX($T9/O$47,$W9/O$48)/'Top Level Case Parameters'!$H24)</f>
        <v>0</v>
      </c>
      <c r="P88" s="55">
        <f>IF($V9&gt;P$49,0,MAX($T9/P$47,$W9/P$48)/'Top Level Case Parameters'!$H24)</f>
        <v>9893.7639497142864</v>
      </c>
      <c r="Q88" s="55">
        <f>IF($V9&gt;Q$49,0,MAX($T9/Q$47,$W9/Q$48)/'Top Level Case Parameters'!$H24)</f>
        <v>6492.7825919999996</v>
      </c>
      <c r="R88" s="55">
        <f>IF($V9&gt;R$49,0,MAX($T9/R$47,$W9/R$48)/'Top Level Case Parameters'!$H24)</f>
        <v>0</v>
      </c>
      <c r="S88" s="55">
        <f>IF($V9&gt;S$49,0,MAX($T9/S$47,$W9/S$48)/'Top Level Case Parameters'!$H24)</f>
        <v>106377.749987328</v>
      </c>
      <c r="T88" s="55">
        <f>IF($V9&gt;T$49,0,MAX($T9/T$47,$W9/T$48)/'Top Level Case Parameters'!$H24)</f>
        <v>11542.724608</v>
      </c>
      <c r="U88" s="55">
        <f>IF($V9&gt;U$49,0,MAX($T9/U$47,$W9/U$48)/'Top Level Case Parameters'!$H24)</f>
        <v>9748.6940970791784</v>
      </c>
      <c r="V88" s="55">
        <f>IF($V9&gt;V$49,0,MAX($T9/V$47,$W9/V$48)/'Top Level Case Parameters'!$H24)</f>
        <v>2444.3416816941176</v>
      </c>
      <c r="W88" s="61">
        <f>IF($V9&gt;W$49,0,MAX($T9/W$47,$W9/W$48)/'Top Level Case Parameters'!$H24)</f>
        <v>0</v>
      </c>
      <c r="Z88" t="s">
        <v>147</v>
      </c>
    </row>
    <row r="89" spans="1:47" x14ac:dyDescent="0.55000000000000004">
      <c r="A89" s="143"/>
      <c r="B89" s="3" t="s">
        <v>38</v>
      </c>
      <c r="C89" s="60">
        <f>IF($V10&gt;C$49,0,MAX($T10/C$47,$W10/C$48)/'Top Level Case Parameters'!$H25)</f>
        <v>0</v>
      </c>
      <c r="D89" s="55">
        <f>IF($V10&gt;D$49,0,MAX($T10/D$47,$W10/D$48)/'Top Level Case Parameters'!$H25)</f>
        <v>74147.421383647801</v>
      </c>
      <c r="E89" s="55">
        <f>IF($V10&gt;E$49,0,MAX($T10/E$47,$W10/E$48)/'Top Level Case Parameters'!$H25)</f>
        <v>24561.333333333336</v>
      </c>
      <c r="F89" s="55">
        <f>IF($V10&gt;F$49,0,MAX($T10/F$47,$W10/F$48)/'Top Level Case Parameters'!$H25)</f>
        <v>26198.755555555559</v>
      </c>
      <c r="G89" s="55">
        <f>IF($V10&gt;G$49,0,MAX($T10/G$47,$W10/G$48)/'Top Level Case Parameters'!$H25)</f>
        <v>13099.37777777778</v>
      </c>
      <c r="H89" s="55">
        <f>IF($V10&gt;H$49,0,MAX($T10/H$47,$W10/H$48)/'Top Level Case Parameters'!$H25)</f>
        <v>35087.619047619053</v>
      </c>
      <c r="I89" s="55">
        <f>IF($V10&gt;I$49,0,MAX($T10/I$47,$W10/I$48)/'Top Level Case Parameters'!$H25)</f>
        <v>62877.013333333343</v>
      </c>
      <c r="J89" s="55">
        <f>IF($V10&gt;J$49,0,MAX($T10/J$47,$W10/J$48)/'Top Level Case Parameters'!$H25)</f>
        <v>294368.03995006246</v>
      </c>
      <c r="K89" s="55">
        <f>IF($V10&gt;K$49,0,MAX($T10/K$47,$W10/K$48)/'Top Level Case Parameters'!$H25)</f>
        <v>30701.666666666672</v>
      </c>
      <c r="L89" s="55">
        <f>IF($V10&gt;L$49,0,MAX($T10/L$47,$W10/L$48)/'Top Level Case Parameters'!$H25)</f>
        <v>60458.666666666672</v>
      </c>
      <c r="M89" s="55">
        <f>IF($V10&gt;M$49,0,MAX($T10/M$47,$W10/M$48)/'Top Level Case Parameters'!$H25)</f>
        <v>0</v>
      </c>
      <c r="N89" s="55">
        <f>IF($V10&gt;N$49,0,MAX($T10/N$47,$W10/N$48)/'Top Level Case Parameters'!$H25)</f>
        <v>982453.33333333349</v>
      </c>
      <c r="O89" s="55">
        <f>IF($V10&gt;O$49,0,MAX($T10/O$47,$W10/O$48)/'Top Level Case Parameters'!$H25)</f>
        <v>0</v>
      </c>
      <c r="P89" s="55">
        <f>IF($V10&gt;P$49,0,MAX($T10/P$47,$W10/P$48)/'Top Level Case Parameters'!$H25)</f>
        <v>23391.746031746035</v>
      </c>
      <c r="Q89" s="55">
        <f>IF($V10&gt;Q$49,0,MAX($T10/Q$47,$W10/Q$48)/'Top Level Case Parameters'!$H25)</f>
        <v>15350.833333333336</v>
      </c>
      <c r="R89" s="55">
        <f>IF($V10&gt;R$49,0,MAX($T10/R$47,$W10/R$48)/'Top Level Case Parameters'!$H25)</f>
        <v>0</v>
      </c>
      <c r="S89" s="55">
        <f>IF($V10&gt;S$49,0,MAX($T10/S$47,$W10/S$48)/'Top Level Case Parameters'!$H25)</f>
        <v>251508.05333333337</v>
      </c>
      <c r="T89" s="55">
        <f>IF($V10&gt;T$49,0,MAX($T10/T$47,$W10/T$48)/'Top Level Case Parameters'!$H25)</f>
        <v>27290.370370370372</v>
      </c>
      <c r="U89" s="55">
        <f>IF($V10&gt;U$49,0,MAX($T10/U$47,$W10/U$48)/'Top Level Case Parameters'!$H25)</f>
        <v>23048.758553274685</v>
      </c>
      <c r="V89" s="55">
        <f>IF($V10&gt;V$49,0,MAX($T10/V$47,$W10/V$48)/'Top Level Case Parameters'!$H25)</f>
        <v>5779.1372549019616</v>
      </c>
      <c r="W89" s="61">
        <f>IF($V10&gt;W$49,0,MAX($T10/W$47,$W10/W$48)/'Top Level Case Parameters'!$H25)</f>
        <v>36899.65571205008</v>
      </c>
      <c r="Z89" t="s">
        <v>148</v>
      </c>
    </row>
    <row r="90" spans="1:47" x14ac:dyDescent="0.55000000000000004">
      <c r="A90" s="143"/>
      <c r="B90" s="3" t="s">
        <v>39</v>
      </c>
      <c r="C90" s="60">
        <f>IF($V11&gt;C$49,0,MAX($T11/C$47,$W11/C$48)/'Top Level Case Parameters'!$H26)</f>
        <v>0</v>
      </c>
      <c r="D90" s="55">
        <f>IF($V11&gt;D$49,0,MAX($T11/D$47,$W11/D$48)/'Top Level Case Parameters'!$H26)</f>
        <v>0</v>
      </c>
      <c r="E90" s="55">
        <f>IF($V11&gt;E$49,0,MAX($T11/E$47,$W11/E$48)/'Top Level Case Parameters'!$H26)</f>
        <v>0</v>
      </c>
      <c r="F90" s="55">
        <f>IF($V11&gt;F$49,0,MAX($T11/F$47,$W11/F$48)/'Top Level Case Parameters'!$H26)</f>
        <v>0</v>
      </c>
      <c r="G90" s="55">
        <f>IF($V11&gt;G$49,0,MAX($T11/G$47,$W11/G$48)/'Top Level Case Parameters'!$H26)</f>
        <v>7.0720000000000001</v>
      </c>
      <c r="H90" s="55">
        <f>IF($V11&gt;H$49,0,MAX($T11/H$47,$W11/H$48)/'Top Level Case Parameters'!$H26)</f>
        <v>18.942857142857143</v>
      </c>
      <c r="I90" s="55">
        <f>IF($V11&gt;I$49,0,MAX($T11/I$47,$W11/I$48)/'Top Level Case Parameters'!$H26)</f>
        <v>33.945599999999999</v>
      </c>
      <c r="J90" s="55">
        <f>IF($V11&gt;J$49,0,MAX($T11/J$47,$W11/J$48)/'Top Level Case Parameters'!$H26)</f>
        <v>0</v>
      </c>
      <c r="K90" s="55">
        <f>IF($V11&gt;K$49,0,MAX($T11/K$47,$W11/K$48)/'Top Level Case Parameters'!$H26)</f>
        <v>0</v>
      </c>
      <c r="L90" s="55">
        <f>IF($V11&gt;L$49,0,MAX($T11/L$47,$W11/L$48)/'Top Level Case Parameters'!$H26)</f>
        <v>32.64</v>
      </c>
      <c r="M90" s="55">
        <f>IF($V11&gt;M$49,0,MAX($T11/M$47,$W11/M$48)/'Top Level Case Parameters'!$H26)</f>
        <v>0</v>
      </c>
      <c r="N90" s="55">
        <f>IF($V11&gt;N$49,0,MAX($T11/N$47,$W11/N$48)/'Top Level Case Parameters'!$H26)</f>
        <v>0</v>
      </c>
      <c r="O90" s="55">
        <f>IF($V11&gt;O$49,0,MAX($T11/O$47,$W11/O$48)/'Top Level Case Parameters'!$H26)</f>
        <v>0</v>
      </c>
      <c r="P90" s="55">
        <f>IF($V11&gt;P$49,0,MAX($T11/P$47,$W11/P$48)/'Top Level Case Parameters'!$H26)</f>
        <v>12.628571428571428</v>
      </c>
      <c r="Q90" s="55">
        <f>IF($V11&gt;Q$49,0,MAX($T11/Q$47,$W11/Q$48)/'Top Level Case Parameters'!$H26)</f>
        <v>8.2874999999999996</v>
      </c>
      <c r="R90" s="55">
        <f>IF($V11&gt;R$49,0,MAX($T11/R$47,$W11/R$48)/'Top Level Case Parameters'!$H26)</f>
        <v>0</v>
      </c>
      <c r="S90" s="55">
        <f>IF($V11&gt;S$49,0,MAX($T11/S$47,$W11/S$48)/'Top Level Case Parameters'!$H26)</f>
        <v>0</v>
      </c>
      <c r="T90" s="55">
        <f>IF($V11&gt;T$49,0,MAX($T11/T$47,$W11/T$48)/'Top Level Case Parameters'!$H26)</f>
        <v>0</v>
      </c>
      <c r="U90" s="55">
        <f>IF($V11&gt;U$49,0,MAX($T11/U$47,$W11/U$48)/'Top Level Case Parameters'!$H26)</f>
        <v>0</v>
      </c>
      <c r="V90" s="55">
        <f>IF($V11&gt;V$49,0,MAX($T11/V$47,$W11/V$48)/'Top Level Case Parameters'!$H26)</f>
        <v>3.12</v>
      </c>
      <c r="W90" s="61">
        <f>IF($V11&gt;W$49,0,MAX($T11/W$47,$W11/W$48)/'Top Level Case Parameters'!$H26)</f>
        <v>0</v>
      </c>
      <c r="Z90" t="s">
        <v>149</v>
      </c>
    </row>
    <row r="91" spans="1:47" x14ac:dyDescent="0.55000000000000004">
      <c r="A91" s="143"/>
      <c r="B91" s="3" t="s">
        <v>40</v>
      </c>
      <c r="C91" s="60">
        <f>IF($V12&gt;C$49,0,MAX($T12/C$47,$W12/C$48)/'Top Level Case Parameters'!$H27)</f>
        <v>3.418065818392769E-3</v>
      </c>
      <c r="D91" s="55">
        <f>IF($V12&gt;D$49,0,MAX($T12/D$47,$W12/D$48)/'Top Level Case Parameters'!$H27)</f>
        <v>4.6188679245283016E-3</v>
      </c>
      <c r="E91" s="55">
        <f>IF($V12&gt;E$49,0,MAX($T12/E$47,$W12/E$48)/'Top Level Case Parameters'!$H27)</f>
        <v>1.5299999999999999E-3</v>
      </c>
      <c r="F91" s="55">
        <f>IF($V12&gt;F$49,0,MAX($T12/F$47,$W12/F$48)/'Top Level Case Parameters'!$H27)</f>
        <v>1.632E-3</v>
      </c>
      <c r="G91" s="55">
        <f>IF($V12&gt;G$49,0,MAX($T12/G$47,$W12/G$48)/'Top Level Case Parameters'!$H27)</f>
        <v>8.1599999999999999E-4</v>
      </c>
      <c r="H91" s="55">
        <f>IF($V12&gt;H$49,0,MAX($T12/H$47,$W12/H$48)/'Top Level Case Parameters'!$H27)</f>
        <v>2.1857142857142856E-3</v>
      </c>
      <c r="I91" s="55">
        <f>IF($V12&gt;I$49,0,MAX($T12/I$47,$W12/I$48)/'Top Level Case Parameters'!$H27)</f>
        <v>3.9167999999999998E-3</v>
      </c>
      <c r="J91" s="55">
        <f>IF($V12&gt;J$49,0,MAX($T12/J$47,$W12/J$48)/'Top Level Case Parameters'!$H27)</f>
        <v>1.8337078651685393E-2</v>
      </c>
      <c r="K91" s="55">
        <f>IF($V12&gt;K$49,0,MAX($T12/K$47,$W12/K$48)/'Top Level Case Parameters'!$H27)</f>
        <v>1.9124999999999999E-3</v>
      </c>
      <c r="L91" s="55">
        <f>IF($V12&gt;L$49,0,MAX($T12/L$47,$W12/L$48)/'Top Level Case Parameters'!$H27)</f>
        <v>0.10346577612432166</v>
      </c>
      <c r="M91" s="55">
        <f>IF($V12&gt;M$49,0,MAX($T12/M$47,$W12/M$48)/'Top Level Case Parameters'!$H27)</f>
        <v>1.9141168582999506</v>
      </c>
      <c r="N91" s="55">
        <f>IF($V12&gt;N$49,0,MAX($T12/N$47,$W12/N$48)/'Top Level Case Parameters'!$H27)</f>
        <v>0.38282337165999014</v>
      </c>
      <c r="O91" s="55">
        <f>IF($V12&gt;O$49,0,MAX($T12/O$47,$W12/O$48)/'Top Level Case Parameters'!$H27)</f>
        <v>1.9141168582999506</v>
      </c>
      <c r="P91" s="55">
        <f>IF($V12&gt;P$49,0,MAX($T12/P$47,$W12/P$48)/'Top Level Case Parameters'!$H27)</f>
        <v>6.6462390913192733E-3</v>
      </c>
      <c r="Q91" s="55">
        <f>IF($V12&gt;Q$49,0,MAX($T12/Q$47,$W12/Q$48)/'Top Level Case Parameters'!$H27)</f>
        <v>2.990807591093673E-3</v>
      </c>
      <c r="R91" s="55">
        <f>IF($V12&gt;R$49,0,MAX($T12/R$47,$W12/R$48)/'Top Level Case Parameters'!$H27)</f>
        <v>0.42535930184443349</v>
      </c>
      <c r="S91" s="55">
        <f>IF($V12&gt;S$49,0,MAX($T12/S$47,$W12/S$48)/'Top Level Case Parameters'!$H27)</f>
        <v>1.5667199999999999E-2</v>
      </c>
      <c r="T91" s="55">
        <f>IF($V12&gt;T$49,0,MAX($T12/T$47,$W12/T$48)/'Top Level Case Parameters'!$H27)</f>
        <v>1.6999999999999999E-3</v>
      </c>
      <c r="U91" s="55">
        <f>IF($V12&gt;U$49,0,MAX($T12/U$47,$W12/U$48)/'Top Level Case Parameters'!$H27)</f>
        <v>1.4357771260997067E-3</v>
      </c>
      <c r="V91" s="55">
        <f>IF($V12&gt;V$49,0,MAX($T12/V$47,$W12/V$48)/'Top Level Case Parameters'!$H27)</f>
        <v>3.6000000000000002E-4</v>
      </c>
      <c r="W91" s="61">
        <f>IF($V12&gt;W$49,0,MAX($T12/W$47,$W12/W$48)/'Top Level Case Parameters'!$H27)</f>
        <v>5.981615182187346E-3</v>
      </c>
      <c r="Z91" t="s">
        <v>150</v>
      </c>
    </row>
    <row r="92" spans="1:47" x14ac:dyDescent="0.55000000000000004">
      <c r="A92" s="143"/>
      <c r="B92" t="s">
        <v>133</v>
      </c>
      <c r="C92" s="60">
        <f>IF($V13&gt;C$49,0,MAX($T13/C$47,$W13/C$48)/'Top Level Case Parameters'!$H28)</f>
        <v>0</v>
      </c>
      <c r="D92" s="55">
        <f>IF($V13&gt;D$49,0,MAX($T13/D$47,$W13/D$48)/'Top Level Case Parameters'!$H28)</f>
        <v>0</v>
      </c>
      <c r="E92" s="55">
        <f>IF($V13&gt;E$49,0,MAX($T13/E$47,$W13/E$48)/'Top Level Case Parameters'!$H28)</f>
        <v>0</v>
      </c>
      <c r="F92" s="55">
        <f>IF($V13&gt;F$49,0,MAX($T13/F$47,$W13/F$48)/'Top Level Case Parameters'!$H28)</f>
        <v>0</v>
      </c>
      <c r="G92" s="55">
        <f>IF($V13&gt;G$49,0,MAX($T13/G$47,$W13/G$48)/'Top Level Case Parameters'!$H28)</f>
        <v>0</v>
      </c>
      <c r="H92" s="55">
        <f>IF($V13&gt;H$49,0,MAX($T13/H$47,$W13/H$48)/'Top Level Case Parameters'!$H28)</f>
        <v>0</v>
      </c>
      <c r="I92" s="55">
        <f>IF($V13&gt;I$49,0,MAX($T13/I$47,$W13/I$48)/'Top Level Case Parameters'!$H28)</f>
        <v>0</v>
      </c>
      <c r="J92" s="55">
        <f>IF($V13&gt;J$49,0,MAX($T13/J$47,$W13/J$48)/'Top Level Case Parameters'!$H28)</f>
        <v>0</v>
      </c>
      <c r="K92" s="55">
        <f>IF($V13&gt;K$49,0,MAX($T13/K$47,$W13/K$48)/'Top Level Case Parameters'!$H28)</f>
        <v>0</v>
      </c>
      <c r="L92" s="55">
        <f>IF($V13&gt;L$49,0,MAX($T13/L$47,$W13/L$48)/'Top Level Case Parameters'!$H28)</f>
        <v>0</v>
      </c>
      <c r="M92" s="55">
        <f>IF($V13&gt;M$49,0,MAX($T13/M$47,$W13/M$48)/'Top Level Case Parameters'!$H28)</f>
        <v>0</v>
      </c>
      <c r="N92" s="55">
        <f>IF($V13&gt;N$49,0,MAX($T13/N$47,$W13/N$48)/'Top Level Case Parameters'!$H28)</f>
        <v>0</v>
      </c>
      <c r="O92" s="55">
        <f>IF($V13&gt;O$49,0,MAX($T13/O$47,$W13/O$48)/'Top Level Case Parameters'!$H28)</f>
        <v>0</v>
      </c>
      <c r="P92" s="55">
        <f>IF($V13&gt;P$49,0,MAX($T13/P$47,$W13/P$48)/'Top Level Case Parameters'!$H28)</f>
        <v>0</v>
      </c>
      <c r="Q92" s="55">
        <f>IF($V13&gt;Q$49,0,MAX($T13/Q$47,$W13/Q$48)/'Top Level Case Parameters'!$H28)</f>
        <v>0</v>
      </c>
      <c r="R92" s="55">
        <f>IF($V13&gt;R$49,0,MAX($T13/R$47,$W13/R$48)/'Top Level Case Parameters'!$H28)</f>
        <v>0</v>
      </c>
      <c r="S92" s="55">
        <f>IF($V13&gt;S$49,0,MAX($T13/S$47,$W13/S$48)/'Top Level Case Parameters'!$H28)</f>
        <v>0</v>
      </c>
      <c r="T92" s="55">
        <f>IF($V13&gt;T$49,0,MAX($T13/T$47,$W13/T$48)/'Top Level Case Parameters'!$H28)</f>
        <v>0</v>
      </c>
      <c r="U92" s="55">
        <f>IF($V13&gt;U$49,0,MAX($T13/U$47,$W13/U$48)/'Top Level Case Parameters'!$H28)</f>
        <v>0</v>
      </c>
      <c r="V92" s="55">
        <f>IF($V13&gt;V$49,0,MAX($T13/V$47,$W13/V$48)/'Top Level Case Parameters'!$H28)</f>
        <v>0</v>
      </c>
      <c r="W92" s="61">
        <f>IF($V13&gt;W$49,0,MAX($T13/W$47,$W13/W$48)/'Top Level Case Parameters'!$H28)</f>
        <v>0</v>
      </c>
      <c r="Z92" t="s">
        <v>151</v>
      </c>
    </row>
    <row r="93" spans="1:47" ht="14.7" thickBot="1" x14ac:dyDescent="0.6">
      <c r="A93" s="143"/>
      <c r="B93" s="8" t="s">
        <v>42</v>
      </c>
      <c r="C93" s="62">
        <f>IF($V14&gt;C$49,0,MAX($T14/C$47,$W14/C$48)/'Top Level Case Parameters'!$H29)</f>
        <v>0</v>
      </c>
      <c r="D93" s="63">
        <f>IF($V14&gt;D$49,0,MAX($T14/D$47,$W14/D$48)/'Top Level Case Parameters'!$H29)</f>
        <v>221932.0754716981</v>
      </c>
      <c r="E93" s="63">
        <f>IF($V14&gt;E$49,0,MAX($T14/E$47,$W14/E$48)/'Top Level Case Parameters'!$H29)</f>
        <v>73515</v>
      </c>
      <c r="F93" s="63">
        <f>IF($V14&gt;F$49,0,MAX($T14/F$47,$W14/F$48)/'Top Level Case Parameters'!$H29)</f>
        <v>78416</v>
      </c>
      <c r="G93" s="63">
        <f>IF($V14&gt;G$49,0,MAX($T14/G$47,$W14/G$48)/'Top Level Case Parameters'!$H29)</f>
        <v>39208</v>
      </c>
      <c r="H93" s="63">
        <f>IF($V14&gt;H$49,0,MAX($T14/H$47,$W14/H$48)/'Top Level Case Parameters'!$H29)</f>
        <v>105021.42857142857</v>
      </c>
      <c r="I93" s="63">
        <f>IF($V14&gt;I$49,0,MAX($T14/I$47,$W14/I$48)/'Top Level Case Parameters'!$H29)</f>
        <v>188198.39999999999</v>
      </c>
      <c r="J93" s="63">
        <f>IF($V14&gt;J$49,0,MAX($T14/J$47,$W14/J$48)/'Top Level Case Parameters'!$H29)</f>
        <v>881078.6516853933</v>
      </c>
      <c r="K93" s="63">
        <f>IF($V14&gt;K$49,0,MAX($T14/K$47,$W14/K$48)/'Top Level Case Parameters'!$H29)</f>
        <v>91893.75</v>
      </c>
      <c r="L93" s="63">
        <f>IF($V14&gt;L$49,0,MAX($T14/L$47,$W14/L$48)/'Top Level Case Parameters'!$H29)</f>
        <v>180960</v>
      </c>
      <c r="M93" s="63">
        <f>IF($V14&gt;M$49,0,MAX($T14/M$47,$W14/M$48)/'Top Level Case Parameters'!$H29)</f>
        <v>0</v>
      </c>
      <c r="N93" s="63">
        <f>IF($V14&gt;N$49,0,MAX($T14/N$47,$W14/N$48)/'Top Level Case Parameters'!$H29)</f>
        <v>2940600</v>
      </c>
      <c r="O93" s="63">
        <f>IF($V14&gt;O$49,0,MAX($T14/O$47,$W14/O$48)/'Top Level Case Parameters'!$H29)</f>
        <v>0</v>
      </c>
      <c r="P93" s="63">
        <f>IF($V14&gt;P$49,0,MAX($T14/P$47,$W14/P$48)/'Top Level Case Parameters'!$H29)</f>
        <v>70014.28571428571</v>
      </c>
      <c r="Q93" s="63">
        <f>IF($V14&gt;Q$49,0,MAX($T14/Q$47,$W14/Q$48)/'Top Level Case Parameters'!$H29)</f>
        <v>45946.875</v>
      </c>
      <c r="R93" s="63">
        <f>IF($V14&gt;R$49,0,MAX($T14/R$47,$W14/R$48)/'Top Level Case Parameters'!$H29)</f>
        <v>0</v>
      </c>
      <c r="S93" s="63">
        <f>IF($V14&gt;S$49,0,MAX($T14/S$47,$W14/S$48)/'Top Level Case Parameters'!$H29)</f>
        <v>752793.59999999998</v>
      </c>
      <c r="T93" s="63">
        <f>IF($V14&gt;T$49,0,MAX($T14/T$47,$W14/T$48)/'Top Level Case Parameters'!$H29)</f>
        <v>81683.333333333328</v>
      </c>
      <c r="U93" s="63">
        <f>IF($V14&gt;U$49,0,MAX($T14/U$47,$W14/U$48)/'Top Level Case Parameters'!$H29)</f>
        <v>68987.683284457482</v>
      </c>
      <c r="V93" s="63">
        <f>IF($V14&gt;V$49,0,MAX($T14/V$47,$W14/V$48)/'Top Level Case Parameters'!$H29)</f>
        <v>17297.647058823528</v>
      </c>
      <c r="W93" s="64">
        <f>IF($V14&gt;W$49,0,MAX($T14/W$47,$W14/W$48)/'Top Level Case Parameters'!$H29)</f>
        <v>110445.07042253521</v>
      </c>
      <c r="Z93" t="s">
        <v>152</v>
      </c>
    </row>
    <row r="96" spans="1:47" x14ac:dyDescent="0.55000000000000004">
      <c r="A96" s="72" t="s">
        <v>136</v>
      </c>
      <c r="B96" s="144" t="s">
        <v>26</v>
      </c>
      <c r="C96" s="144"/>
      <c r="D96" s="144"/>
      <c r="E96" s="144"/>
      <c r="F96" s="144"/>
      <c r="G96" s="144"/>
      <c r="H96" s="144"/>
      <c r="I96" s="144"/>
      <c r="J96" s="144"/>
      <c r="K96" s="144"/>
      <c r="L96" s="144"/>
      <c r="M96" s="144"/>
      <c r="N96" s="144"/>
      <c r="O96" s="144"/>
      <c r="P96" s="144"/>
      <c r="Q96" s="144"/>
      <c r="R96" s="144"/>
      <c r="S96" s="144"/>
      <c r="T96" s="144"/>
      <c r="U96" s="144"/>
      <c r="V96" s="144"/>
      <c r="W96" s="144"/>
      <c r="Y96" s="143" t="s">
        <v>177</v>
      </c>
      <c r="Z96" s="144" t="s">
        <v>26</v>
      </c>
      <c r="AA96" s="144"/>
      <c r="AB96" s="144"/>
      <c r="AC96" s="144"/>
      <c r="AD96" s="144"/>
      <c r="AE96" s="144"/>
      <c r="AF96" s="144"/>
      <c r="AG96" s="144"/>
      <c r="AH96" s="144"/>
      <c r="AI96" s="144"/>
      <c r="AJ96" s="144"/>
      <c r="AK96" s="144"/>
      <c r="AL96" s="144"/>
      <c r="AM96" s="144"/>
      <c r="AN96" s="144"/>
      <c r="AO96" s="144"/>
      <c r="AP96" s="144"/>
      <c r="AQ96" s="144"/>
      <c r="AR96" s="144"/>
      <c r="AS96" s="144"/>
      <c r="AT96" s="144"/>
      <c r="AU96" s="144"/>
    </row>
    <row r="97" spans="1:47" ht="14.7" thickBot="1" x14ac:dyDescent="0.6">
      <c r="A97" s="72"/>
      <c r="B97" s="17" t="s">
        <v>134</v>
      </c>
      <c r="C97" t="str">
        <f>'Top Level Case Parameters'!B$34</f>
        <v>Virtex-5QV</v>
      </c>
      <c r="D97" t="str">
        <f>'Top Level Case Parameters'!C$34</f>
        <v>RTG4</v>
      </c>
      <c r="E97" t="str">
        <f>'Top Level Case Parameters'!D$34</f>
        <v>Polarfire</v>
      </c>
      <c r="F97" t="str">
        <f>'Top Level Case Parameters'!E$34</f>
        <v>Kintex-7Q</v>
      </c>
      <c r="G97" t="str">
        <f>'Top Level Case Parameters'!F$34</f>
        <v>Virtex-7Q</v>
      </c>
      <c r="H97" t="str">
        <f>'Top Level Case Parameters'!G$34</f>
        <v>RT Kintex Ultrascale</v>
      </c>
      <c r="I97" t="str">
        <f>'Top Level Case Parameters'!H$34</f>
        <v>NG-Ultra</v>
      </c>
      <c r="J97" t="str">
        <f>'Top Level Case Parameters'!I$34</f>
        <v>SmartFusion2</v>
      </c>
      <c r="K97" t="str">
        <f>'Top Level Case Parameters'!J$34</f>
        <v>Tegra X1</v>
      </c>
      <c r="L97" t="str">
        <f>'Top Level Case Parameters'!K$34</f>
        <v>RAD5545</v>
      </c>
      <c r="M97" t="str">
        <f>'Top Level Case Parameters'!L$34</f>
        <v>RAD750</v>
      </c>
      <c r="N97" t="str">
        <f>'Top Level Case Parameters'!M$34</f>
        <v>GR740</v>
      </c>
      <c r="O97" t="str">
        <f>'Top Level Case Parameters'!N$34</f>
        <v>GR712RC</v>
      </c>
      <c r="P97" t="str">
        <f>'Top Level Case Parameters'!O$34</f>
        <v>LS1046-Space</v>
      </c>
      <c r="Q97" t="str">
        <f>'Top Level Case Parameters'!P$34</f>
        <v>HPSC</v>
      </c>
      <c r="R97" t="str">
        <f>'Top Level Case Parameters'!Q$34</f>
        <v>E698PM</v>
      </c>
      <c r="S97" t="str">
        <f>'Top Level Case Parameters'!R$34</f>
        <v>RC64</v>
      </c>
      <c r="T97" t="str">
        <f>'Top Level Case Parameters'!S$34</f>
        <v>TI 66AK2Hxx</v>
      </c>
      <c r="U97" t="str">
        <f>'Top Level Case Parameters'!T$34</f>
        <v>SnapDragon 855</v>
      </c>
      <c r="V97" t="str">
        <f>'Top Level Case Parameters'!U$34</f>
        <v>XQR Versal</v>
      </c>
      <c r="W97" t="str">
        <f>'Top Level Case Parameters'!V$34</f>
        <v>HISAOR</v>
      </c>
      <c r="Y97" s="143"/>
      <c r="Z97" s="17" t="s">
        <v>134</v>
      </c>
      <c r="AA97" t="s">
        <v>70</v>
      </c>
      <c r="AB97" t="s">
        <v>73</v>
      </c>
      <c r="AC97" t="s">
        <v>74</v>
      </c>
      <c r="AD97" t="s">
        <v>76</v>
      </c>
      <c r="AE97" t="s">
        <v>78</v>
      </c>
      <c r="AF97" t="s">
        <v>79</v>
      </c>
      <c r="AG97" t="s">
        <v>80</v>
      </c>
      <c r="AH97" t="s">
        <v>81</v>
      </c>
      <c r="AI97" t="s">
        <v>82</v>
      </c>
      <c r="AJ97" t="s">
        <v>84</v>
      </c>
      <c r="AK97" t="s">
        <v>86</v>
      </c>
      <c r="AL97" t="s">
        <v>88</v>
      </c>
      <c r="AM97" t="s">
        <v>89</v>
      </c>
      <c r="AN97" t="s">
        <v>90</v>
      </c>
      <c r="AO97" t="s">
        <v>91</v>
      </c>
      <c r="AP97" t="s">
        <v>92</v>
      </c>
      <c r="AQ97" t="s">
        <v>94</v>
      </c>
      <c r="AR97" t="s">
        <v>96</v>
      </c>
      <c r="AS97" t="s">
        <v>98</v>
      </c>
      <c r="AT97" t="s">
        <v>100</v>
      </c>
      <c r="AU97" t="s">
        <v>102</v>
      </c>
    </row>
    <row r="98" spans="1:47" ht="14.7" thickBot="1" x14ac:dyDescent="0.6">
      <c r="A98" s="72"/>
      <c r="B98" s="5" t="s">
        <v>31</v>
      </c>
      <c r="C98" s="65">
        <f t="shared" ref="C98:V98" si="7">IF($N3&gt;C$49,0,LOG10(MAX($L3/C$47,$O3/C$48)))</f>
        <v>3.2464996702587907</v>
      </c>
      <c r="D98" s="65">
        <f t="shared" si="7"/>
        <v>3.399169207924253</v>
      </c>
      <c r="E98" s="65">
        <f t="shared" si="7"/>
        <v>2.9193250948691172</v>
      </c>
      <c r="F98" s="65">
        <f t="shared" si="7"/>
        <v>2.9473538184693608</v>
      </c>
      <c r="G98" s="65">
        <f t="shared" si="7"/>
        <v>2.6463238228053796</v>
      </c>
      <c r="H98" s="65">
        <f t="shared" si="7"/>
        <v>3.0742270548548607</v>
      </c>
      <c r="I98" s="65">
        <f t="shared" si="7"/>
        <v>3.3275650601809672</v>
      </c>
      <c r="J98" s="65">
        <f t="shared" si="7"/>
        <v>3.997963811824448</v>
      </c>
      <c r="K98" s="65">
        <f t="shared" si="7"/>
        <v>3.0162351078771739</v>
      </c>
      <c r="L98" s="65">
        <f t="shared" si="7"/>
        <v>4.7275159688619777</v>
      </c>
      <c r="M98" s="65">
        <f t="shared" si="7"/>
        <v>5.9946876972649914</v>
      </c>
      <c r="N98" s="65">
        <f t="shared" si="7"/>
        <v>5.2957176929289727</v>
      </c>
      <c r="O98" s="65">
        <f t="shared" si="7"/>
        <v>5.9946876972649914</v>
      </c>
      <c r="P98" s="65">
        <f t="shared" si="7"/>
        <v>3.5352952095057604</v>
      </c>
      <c r="Q98" s="65">
        <f t="shared" si="7"/>
        <v>3.1885077232811039</v>
      </c>
      <c r="R98" s="65">
        <f t="shared" si="7"/>
        <v>5.3414751834896474</v>
      </c>
      <c r="S98" s="65">
        <f t="shared" si="7"/>
        <v>3.9296250515089293</v>
      </c>
      <c r="T98" s="65">
        <f t="shared" si="7"/>
        <v>2.9650825854297924</v>
      </c>
      <c r="U98" s="65">
        <f t="shared" si="7"/>
        <v>2.8917206941965254</v>
      </c>
      <c r="V98" s="65">
        <f t="shared" si="7"/>
        <v>2.290936164818806</v>
      </c>
      <c r="W98" s="65">
        <f t="shared" ref="W98:W109" si="8">IF($N3&gt;W$49,0,LOG10(MAX($L3/W$47,$O3/W$48)))</f>
        <v>3.4895377189450851</v>
      </c>
      <c r="Y98" s="143"/>
      <c r="Z98" t="s">
        <v>144</v>
      </c>
      <c r="AA98" s="36">
        <f t="shared" ref="AA98:AA109" si="9">C98^10</f>
        <v>130062.95923144967</v>
      </c>
      <c r="AB98" s="36">
        <f t="shared" ref="AB98:AB109" si="10">D98^10</f>
        <v>205933.89774234092</v>
      </c>
      <c r="AC98" s="36">
        <f t="shared" ref="AC98:AC109" si="11">E98^10</f>
        <v>44959.824303048685</v>
      </c>
      <c r="AD98" s="36">
        <f t="shared" ref="AD98:AD109" si="12">F98^10</f>
        <v>49467.816781921065</v>
      </c>
      <c r="AE98" s="36">
        <f t="shared" ref="AE98:AE109" si="13">G98^10</f>
        <v>16843.4039500873</v>
      </c>
      <c r="AF98" s="36">
        <f t="shared" ref="AF98:AF109" si="14">H98^10</f>
        <v>75397.926518512599</v>
      </c>
      <c r="AG98" s="36">
        <f t="shared" ref="AG98:AG109" si="15">I98^10</f>
        <v>166443.00769295046</v>
      </c>
      <c r="AH98" s="36">
        <f t="shared" ref="AH98:AH109" si="16">J98^10</f>
        <v>1043250.4655210999</v>
      </c>
      <c r="AI98" s="36">
        <f t="shared" ref="AI98:AI109" si="17">K98^10</f>
        <v>62323.51033094537</v>
      </c>
      <c r="AJ98" s="36">
        <f t="shared" ref="AJ98:AJ109" si="18">L98^10</f>
        <v>5576093.4695215765</v>
      </c>
      <c r="AK98" s="36">
        <f t="shared" ref="AK98:AK109" si="19">M98^10</f>
        <v>59932946.238240212</v>
      </c>
      <c r="AL98" s="36">
        <f t="shared" ref="AL98:AL109" si="20">N98^10</f>
        <v>17347953.699002534</v>
      </c>
      <c r="AM98" s="36">
        <f t="shared" ref="AM98:AM109" si="21">O98^10</f>
        <v>59932946.238240212</v>
      </c>
      <c r="AN98" s="36">
        <f t="shared" ref="AN98:AN109" si="22">P98^10</f>
        <v>304969.80884642864</v>
      </c>
      <c r="AO98" s="36">
        <f t="shared" ref="AO98:AO109" si="23">Q98^10</f>
        <v>108611.23020320185</v>
      </c>
      <c r="AP98" s="36">
        <f t="shared" ref="AP98:AP109" si="24">R98^10</f>
        <v>18906544.011856288</v>
      </c>
      <c r="AQ98" s="36">
        <f t="shared" ref="AQ98:AQ109" si="25">S98^10</f>
        <v>878033.60457590292</v>
      </c>
      <c r="AR98" s="36">
        <f t="shared" ref="AR98:AR109" si="26">T98^10</f>
        <v>52525.227393712157</v>
      </c>
      <c r="AS98" s="36">
        <f t="shared" ref="AS98:AS109" si="27">U98^10</f>
        <v>40884.946114693594</v>
      </c>
      <c r="AT98" s="36">
        <f t="shared" ref="AT98:AT109" si="28">V98^10</f>
        <v>3982.2624687693619</v>
      </c>
      <c r="AU98" s="36">
        <f t="shared" ref="AU98:AU109" si="29">W98^10</f>
        <v>267718.86209725006</v>
      </c>
    </row>
    <row r="99" spans="1:47" ht="14.7" thickBot="1" x14ac:dyDescent="0.6">
      <c r="A99" s="72"/>
      <c r="B99" s="3" t="s">
        <v>32</v>
      </c>
      <c r="C99" s="65">
        <f t="shared" ref="C99:R109" si="30">IF($N4&gt;C$49,0,LOG10(MAX($L4/C$47,$O4/C$48)))</f>
        <v>0</v>
      </c>
      <c r="D99" s="65">
        <f t="shared" si="30"/>
        <v>3.6040874220017844</v>
      </c>
      <c r="E99" s="65">
        <f t="shared" si="30"/>
        <v>3.1242433089466486</v>
      </c>
      <c r="F99" s="65">
        <f t="shared" si="30"/>
        <v>3.1522720325468923</v>
      </c>
      <c r="G99" s="65">
        <f t="shared" si="30"/>
        <v>2.851242036882911</v>
      </c>
      <c r="H99" s="65">
        <f t="shared" si="30"/>
        <v>3.2791452689323921</v>
      </c>
      <c r="I99" s="65">
        <f t="shared" si="30"/>
        <v>3.5324832742584982</v>
      </c>
      <c r="J99" s="65">
        <f t="shared" si="30"/>
        <v>4.2028820259019799</v>
      </c>
      <c r="K99" s="65">
        <f t="shared" si="30"/>
        <v>3.2211533219547053</v>
      </c>
      <c r="L99" s="65">
        <f t="shared" si="30"/>
        <v>3.5154499349597179</v>
      </c>
      <c r="M99" s="65">
        <f t="shared" si="30"/>
        <v>4.4252733046106298</v>
      </c>
      <c r="N99" s="65">
        <f t="shared" si="30"/>
        <v>4.7263033002746111</v>
      </c>
      <c r="O99" s="65">
        <f t="shared" si="30"/>
        <v>5.0273332959385924</v>
      </c>
      <c r="P99" s="65">
        <f t="shared" si="30"/>
        <v>3.1030540098767108</v>
      </c>
      <c r="Q99" s="65">
        <f t="shared" si="30"/>
        <v>2.920123326290724</v>
      </c>
      <c r="R99" s="65">
        <f t="shared" si="30"/>
        <v>0</v>
      </c>
      <c r="S99" s="65">
        <f t="shared" ref="S99:V109" si="31">IF($N4&gt;S$49,0,LOG10(MAX($L4/S$47,$O4/S$48)))</f>
        <v>4.1345432655864602</v>
      </c>
      <c r="T99" s="65">
        <f t="shared" si="31"/>
        <v>3.1700007995073238</v>
      </c>
      <c r="U99" s="65">
        <f t="shared" si="31"/>
        <v>3.0966389082740569</v>
      </c>
      <c r="V99" s="65">
        <f t="shared" si="31"/>
        <v>2.4958543788963374</v>
      </c>
      <c r="W99" s="65">
        <f t="shared" si="8"/>
        <v>3.3010136838278168</v>
      </c>
      <c r="Y99" s="143"/>
      <c r="Z99" t="s">
        <v>143</v>
      </c>
      <c r="AA99" s="36">
        <f t="shared" si="9"/>
        <v>0</v>
      </c>
      <c r="AB99" s="36">
        <f t="shared" si="10"/>
        <v>369788.30191560549</v>
      </c>
      <c r="AC99" s="36">
        <f t="shared" si="11"/>
        <v>88603.011628157386</v>
      </c>
      <c r="AD99" s="36">
        <f t="shared" si="12"/>
        <v>96880.615374927031</v>
      </c>
      <c r="AE99" s="36">
        <f t="shared" si="13"/>
        <v>35509.197187493643</v>
      </c>
      <c r="AF99" s="36">
        <f t="shared" si="14"/>
        <v>143749.57425743836</v>
      </c>
      <c r="AG99" s="36">
        <f t="shared" si="15"/>
        <v>302552.77603957301</v>
      </c>
      <c r="AH99" s="36">
        <f t="shared" si="16"/>
        <v>1719776.4442582917</v>
      </c>
      <c r="AI99" s="36">
        <f t="shared" si="17"/>
        <v>120257.99827437781</v>
      </c>
      <c r="AJ99" s="36">
        <f t="shared" si="18"/>
        <v>288276.45539695694</v>
      </c>
      <c r="AK99" s="36">
        <f t="shared" si="19"/>
        <v>2880056.3072919725</v>
      </c>
      <c r="AL99" s="36">
        <f t="shared" si="20"/>
        <v>5561806.5725628398</v>
      </c>
      <c r="AM99" s="36">
        <f t="shared" si="21"/>
        <v>10312804.502874391</v>
      </c>
      <c r="AN99" s="36">
        <f t="shared" si="22"/>
        <v>82773.886493251965</v>
      </c>
      <c r="AO99" s="36">
        <f t="shared" si="23"/>
        <v>45082.909378568904</v>
      </c>
      <c r="AP99" s="36">
        <f t="shared" si="24"/>
        <v>0</v>
      </c>
      <c r="AQ99" s="36">
        <f t="shared" si="25"/>
        <v>1459739.6655561957</v>
      </c>
      <c r="AR99" s="36">
        <f t="shared" si="26"/>
        <v>102469.2877542999</v>
      </c>
      <c r="AS99" s="36">
        <f t="shared" si="27"/>
        <v>81078.492008729387</v>
      </c>
      <c r="AT99" s="36">
        <f t="shared" si="28"/>
        <v>9379.775146918375</v>
      </c>
      <c r="AU99" s="36">
        <f t="shared" si="29"/>
        <v>153629.01509400018</v>
      </c>
    </row>
    <row r="100" spans="1:47" ht="14.7" thickBot="1" x14ac:dyDescent="0.6">
      <c r="A100" s="72"/>
      <c r="B100" s="3" t="s">
        <v>33</v>
      </c>
      <c r="C100" s="65">
        <f t="shared" si="30"/>
        <v>0</v>
      </c>
      <c r="D100" s="65">
        <f t="shared" ref="D100:R100" si="32">IF($N5&gt;D$49,0,LOG10(MAX($L5/D$47,$O5/D$48)))</f>
        <v>1.9952940480148535</v>
      </c>
      <c r="E100" s="65">
        <f t="shared" si="32"/>
        <v>1.5154499349597179</v>
      </c>
      <c r="F100" s="65">
        <f t="shared" si="32"/>
        <v>1.5434786585599616</v>
      </c>
      <c r="G100" s="65">
        <f t="shared" si="32"/>
        <v>1.2424486628959803</v>
      </c>
      <c r="H100" s="65">
        <f t="shared" si="32"/>
        <v>1.670351894945461</v>
      </c>
      <c r="I100" s="65">
        <f t="shared" si="32"/>
        <v>1.9236899002715675</v>
      </c>
      <c r="J100" s="65">
        <f t="shared" si="32"/>
        <v>2.5940886519150488</v>
      </c>
      <c r="K100" s="65">
        <f t="shared" si="32"/>
        <v>1.6123599479677744</v>
      </c>
      <c r="L100" s="65">
        <f t="shared" si="32"/>
        <v>1.9066565609727872</v>
      </c>
      <c r="M100" s="65">
        <f t="shared" si="32"/>
        <v>2.9414186672319991</v>
      </c>
      <c r="N100" s="65">
        <f t="shared" si="32"/>
        <v>3.1175099262876804</v>
      </c>
      <c r="O100" s="65">
        <f t="shared" si="32"/>
        <v>3.4185399219516617</v>
      </c>
      <c r="P100" s="65">
        <f t="shared" si="32"/>
        <v>1.4942606358897799</v>
      </c>
      <c r="Q100" s="65">
        <f t="shared" si="32"/>
        <v>1.3113299523037931</v>
      </c>
      <c r="R100" s="65">
        <f t="shared" si="32"/>
        <v>0</v>
      </c>
      <c r="S100" s="65">
        <f t="shared" si="31"/>
        <v>2.52574989159953</v>
      </c>
      <c r="T100" s="65">
        <f t="shared" si="31"/>
        <v>1.5612074255203932</v>
      </c>
      <c r="U100" s="65">
        <f t="shared" si="31"/>
        <v>1.4878455342871262</v>
      </c>
      <c r="V100" s="65">
        <f t="shared" si="31"/>
        <v>0.88706100490940643</v>
      </c>
      <c r="W100" s="65">
        <f t="shared" si="8"/>
        <v>1.6922203098408861</v>
      </c>
      <c r="Y100" s="143"/>
      <c r="Z100" t="s">
        <v>178</v>
      </c>
      <c r="AA100" s="36">
        <f t="shared" si="9"/>
        <v>0</v>
      </c>
      <c r="AB100" s="36">
        <f t="shared" si="10"/>
        <v>1000.1590533582029</v>
      </c>
      <c r="AC100" s="36">
        <f t="shared" si="11"/>
        <v>63.887505898184912</v>
      </c>
      <c r="AD100" s="36">
        <f t="shared" si="12"/>
        <v>76.737260222846373</v>
      </c>
      <c r="AE100" s="36">
        <f t="shared" si="13"/>
        <v>8.7656581630518851</v>
      </c>
      <c r="AF100" s="36">
        <f t="shared" si="14"/>
        <v>169.07513428172985</v>
      </c>
      <c r="AG100" s="36">
        <f t="shared" si="15"/>
        <v>693.98590297532451</v>
      </c>
      <c r="AH100" s="36">
        <f t="shared" si="16"/>
        <v>13799.016640590491</v>
      </c>
      <c r="AI100" s="36">
        <f t="shared" si="17"/>
        <v>118.7462803936015</v>
      </c>
      <c r="AJ100" s="36">
        <f t="shared" si="18"/>
        <v>634.92835465009921</v>
      </c>
      <c r="AK100" s="36">
        <f t="shared" si="19"/>
        <v>48480.650977411504</v>
      </c>
      <c r="AL100" s="36">
        <f t="shared" si="20"/>
        <v>86711.849529849293</v>
      </c>
      <c r="AM100" s="36">
        <f t="shared" si="21"/>
        <v>217974.93652835346</v>
      </c>
      <c r="AN100" s="36">
        <f t="shared" si="22"/>
        <v>55.496239724913885</v>
      </c>
      <c r="AO100" s="36">
        <f t="shared" si="23"/>
        <v>15.035567031216637</v>
      </c>
      <c r="AP100" s="36">
        <f t="shared" si="24"/>
        <v>0</v>
      </c>
      <c r="AQ100" s="36">
        <f t="shared" si="25"/>
        <v>10565.82541257197</v>
      </c>
      <c r="AR100" s="36">
        <f t="shared" si="26"/>
        <v>86.021316002294583</v>
      </c>
      <c r="AS100" s="36">
        <f t="shared" si="27"/>
        <v>53.159202624732799</v>
      </c>
      <c r="AT100" s="36">
        <f t="shared" si="28"/>
        <v>0.30167191580579422</v>
      </c>
      <c r="AU100" s="36">
        <f t="shared" si="29"/>
        <v>192.56130964764313</v>
      </c>
    </row>
    <row r="101" spans="1:47" ht="14.7" thickBot="1" x14ac:dyDescent="0.6">
      <c r="A101" s="72"/>
      <c r="B101" s="3" t="s">
        <v>34</v>
      </c>
      <c r="C101" s="65">
        <f t="shared" si="30"/>
        <v>0</v>
      </c>
      <c r="D101" s="65">
        <f t="shared" si="30"/>
        <v>-0.20209255198210269</v>
      </c>
      <c r="E101" s="65">
        <f t="shared" si="30"/>
        <v>-0.68193666503723849</v>
      </c>
      <c r="F101" s="65">
        <f t="shared" si="30"/>
        <v>-0.65390794143699493</v>
      </c>
      <c r="G101" s="65">
        <f t="shared" si="30"/>
        <v>-0.95493793710097608</v>
      </c>
      <c r="H101" s="65">
        <f t="shared" si="30"/>
        <v>-0.5270347050514953</v>
      </c>
      <c r="I101" s="65">
        <f t="shared" si="30"/>
        <v>-0.2736966997253889</v>
      </c>
      <c r="J101" s="65">
        <f t="shared" si="30"/>
        <v>0.39670205191809232</v>
      </c>
      <c r="K101" s="65">
        <f t="shared" si="30"/>
        <v>-0.58502665202918203</v>
      </c>
      <c r="L101" s="65">
        <f t="shared" si="30"/>
        <v>-0.29073003902416922</v>
      </c>
      <c r="M101" s="65">
        <f t="shared" si="30"/>
        <v>0.61909333062674277</v>
      </c>
      <c r="N101" s="65">
        <f t="shared" si="30"/>
        <v>0.92012332629072391</v>
      </c>
      <c r="O101" s="65">
        <f t="shared" si="30"/>
        <v>1.2211533219547051</v>
      </c>
      <c r="P101" s="65">
        <f t="shared" si="30"/>
        <v>-0.70312596410717654</v>
      </c>
      <c r="Q101" s="65">
        <f t="shared" si="30"/>
        <v>-0.88605664769316317</v>
      </c>
      <c r="R101" s="65">
        <f t="shared" si="30"/>
        <v>0</v>
      </c>
      <c r="S101" s="65">
        <f t="shared" si="31"/>
        <v>0.32836329160257344</v>
      </c>
      <c r="T101" s="65">
        <f t="shared" si="31"/>
        <v>-0.63617917447656336</v>
      </c>
      <c r="U101" s="65">
        <f t="shared" si="31"/>
        <v>-0.70954106570983022</v>
      </c>
      <c r="V101" s="65">
        <f t="shared" si="31"/>
        <v>-1.3103255950875499</v>
      </c>
      <c r="W101" s="65">
        <f t="shared" si="8"/>
        <v>-0.50516629015607017</v>
      </c>
      <c r="Y101" s="143"/>
      <c r="Z101" t="s">
        <v>174</v>
      </c>
      <c r="AA101" s="36">
        <f t="shared" si="9"/>
        <v>0</v>
      </c>
      <c r="AB101" s="36">
        <f t="shared" si="10"/>
        <v>1.1363263592657894E-7</v>
      </c>
      <c r="AC101" s="36">
        <f t="shared" si="11"/>
        <v>2.1749056109500054E-2</v>
      </c>
      <c r="AD101" s="36">
        <f t="shared" si="12"/>
        <v>1.4294406135016112E-2</v>
      </c>
      <c r="AE101" s="36">
        <f t="shared" si="13"/>
        <v>0.63059637560615545</v>
      </c>
      <c r="AF101" s="36">
        <f t="shared" si="14"/>
        <v>1.6534540983667476E-3</v>
      </c>
      <c r="AG101" s="36">
        <f t="shared" si="15"/>
        <v>2.3588243729874592E-6</v>
      </c>
      <c r="AH101" s="36">
        <f t="shared" si="16"/>
        <v>9.6526035307856875E-5</v>
      </c>
      <c r="AI101" s="36">
        <f t="shared" si="17"/>
        <v>4.6963074046711224E-3</v>
      </c>
      <c r="AJ101" s="36">
        <f t="shared" si="18"/>
        <v>4.3141879935643578E-6</v>
      </c>
      <c r="AK101" s="36">
        <f t="shared" si="19"/>
        <v>8.2710615878191177E-3</v>
      </c>
      <c r="AL101" s="36">
        <f t="shared" si="20"/>
        <v>0.43497110470299782</v>
      </c>
      <c r="AM101" s="36">
        <f t="shared" si="21"/>
        <v>7.3739799479454007</v>
      </c>
      <c r="AN101" s="36">
        <f t="shared" si="22"/>
        <v>2.9534617644329877E-2</v>
      </c>
      <c r="AO101" s="36">
        <f t="shared" si="23"/>
        <v>0.29827364568361475</v>
      </c>
      <c r="AP101" s="36">
        <f t="shared" si="24"/>
        <v>0</v>
      </c>
      <c r="AQ101" s="36">
        <f t="shared" si="25"/>
        <v>1.4572900679557517E-5</v>
      </c>
      <c r="AR101" s="36">
        <f t="shared" si="26"/>
        <v>1.0859116249686461E-2</v>
      </c>
      <c r="AS101" s="36">
        <f t="shared" si="27"/>
        <v>3.2342632005716083E-2</v>
      </c>
      <c r="AT101" s="36">
        <f t="shared" si="28"/>
        <v>14.920804615735499</v>
      </c>
      <c r="AU101" s="36">
        <f t="shared" si="29"/>
        <v>1.0822899432511937E-3</v>
      </c>
    </row>
    <row r="102" spans="1:47" ht="14.7" thickBot="1" x14ac:dyDescent="0.6">
      <c r="A102" s="72"/>
      <c r="B102" s="3" t="s">
        <v>35</v>
      </c>
      <c r="C102" s="65">
        <f t="shared" si="30"/>
        <v>-3.7099653886374822</v>
      </c>
      <c r="D102" s="65">
        <f t="shared" si="30"/>
        <v>-3.5311512712463275</v>
      </c>
      <c r="E102" s="65">
        <f t="shared" si="30"/>
        <v>-4.010995384301463</v>
      </c>
      <c r="F102" s="65">
        <f t="shared" si="30"/>
        <v>-3.9829666607012197</v>
      </c>
      <c r="G102" s="65">
        <f t="shared" si="30"/>
        <v>-4.2839966563652006</v>
      </c>
      <c r="H102" s="65">
        <f t="shared" si="30"/>
        <v>-3.8560934243157199</v>
      </c>
      <c r="I102" s="65">
        <f t="shared" si="30"/>
        <v>-3.6027554189896138</v>
      </c>
      <c r="J102" s="65">
        <f t="shared" si="30"/>
        <v>-2.9323566673461325</v>
      </c>
      <c r="K102" s="65">
        <f t="shared" si="30"/>
        <v>-3.9140853712934067</v>
      </c>
      <c r="L102" s="65">
        <f t="shared" si="30"/>
        <v>-3.6197887582883941</v>
      </c>
      <c r="M102" s="65">
        <f t="shared" si="30"/>
        <v>-2.4089353929735009</v>
      </c>
      <c r="N102" s="65">
        <f t="shared" si="30"/>
        <v>-2.4089353929735009</v>
      </c>
      <c r="O102" s="65">
        <f t="shared" si="30"/>
        <v>-2.1079053973095196</v>
      </c>
      <c r="P102" s="65">
        <f t="shared" si="30"/>
        <v>-4.0321846833714012</v>
      </c>
      <c r="Q102" s="65">
        <f t="shared" si="30"/>
        <v>-4.215115366957388</v>
      </c>
      <c r="R102" s="65">
        <f t="shared" si="30"/>
        <v>-3.0621479067488444</v>
      </c>
      <c r="S102" s="65">
        <f t="shared" si="31"/>
        <v>-3.0006954276616513</v>
      </c>
      <c r="T102" s="65">
        <f t="shared" si="31"/>
        <v>-3.9652378937407882</v>
      </c>
      <c r="U102" s="65">
        <f t="shared" si="31"/>
        <v>-4.0385997849740551</v>
      </c>
      <c r="V102" s="65">
        <f t="shared" si="31"/>
        <v>-4.6393843143517746</v>
      </c>
      <c r="W102" s="65">
        <f t="shared" si="8"/>
        <v>-3.8342250094202948</v>
      </c>
      <c r="Y102" s="143"/>
      <c r="Z102" t="s">
        <v>145</v>
      </c>
      <c r="AA102" s="36">
        <f t="shared" si="9"/>
        <v>493967.73174187046</v>
      </c>
      <c r="AB102" s="36">
        <f t="shared" si="10"/>
        <v>301413.86598241754</v>
      </c>
      <c r="AC102" s="36">
        <f t="shared" si="11"/>
        <v>1077758.9105103256</v>
      </c>
      <c r="AD102" s="36">
        <f t="shared" si="12"/>
        <v>1004770.1206662476</v>
      </c>
      <c r="AE102" s="36">
        <f t="shared" si="13"/>
        <v>2082050.3699323211</v>
      </c>
      <c r="AF102" s="36">
        <f t="shared" si="14"/>
        <v>726901.34625763644</v>
      </c>
      <c r="AG102" s="36">
        <f t="shared" si="15"/>
        <v>368423.90450081136</v>
      </c>
      <c r="AH102" s="36">
        <f t="shared" si="16"/>
        <v>47007.584057793953</v>
      </c>
      <c r="AI102" s="36">
        <f t="shared" si="17"/>
        <v>843923.22611813655</v>
      </c>
      <c r="AJ102" s="36">
        <f t="shared" si="18"/>
        <v>386217.78558912047</v>
      </c>
      <c r="AK102" s="36">
        <f t="shared" si="19"/>
        <v>6580.3883510922915</v>
      </c>
      <c r="AL102" s="36">
        <f t="shared" si="20"/>
        <v>6580.3883510922915</v>
      </c>
      <c r="AM102" s="36">
        <f t="shared" si="21"/>
        <v>1731.8535278911397</v>
      </c>
      <c r="AN102" s="36">
        <f t="shared" si="22"/>
        <v>1136067.551991669</v>
      </c>
      <c r="AO102" s="36">
        <f t="shared" si="23"/>
        <v>1770494.8053073247</v>
      </c>
      <c r="AP102" s="36">
        <f t="shared" si="24"/>
        <v>72487.252686149179</v>
      </c>
      <c r="AQ102" s="36">
        <f t="shared" si="25"/>
        <v>59186.023901221561</v>
      </c>
      <c r="AR102" s="36">
        <f t="shared" si="26"/>
        <v>960931.60722889076</v>
      </c>
      <c r="AS102" s="36">
        <f t="shared" si="27"/>
        <v>1154272.0461889252</v>
      </c>
      <c r="AT102" s="36">
        <f t="shared" si="28"/>
        <v>4619590.6979450127</v>
      </c>
      <c r="AU102" s="36">
        <f t="shared" si="29"/>
        <v>686714.08672070038</v>
      </c>
    </row>
    <row r="103" spans="1:47" ht="14.7" thickBot="1" x14ac:dyDescent="0.6">
      <c r="A103" s="72"/>
      <c r="B103" s="3" t="s">
        <v>36</v>
      </c>
      <c r="C103" s="65">
        <f t="shared" si="30"/>
        <v>0</v>
      </c>
      <c r="D103" s="65">
        <f t="shared" si="30"/>
        <v>3.3030574263378032</v>
      </c>
      <c r="E103" s="65">
        <f t="shared" si="30"/>
        <v>2.8232133132826673</v>
      </c>
      <c r="F103" s="65">
        <f t="shared" si="30"/>
        <v>2.851242036882911</v>
      </c>
      <c r="G103" s="65">
        <f t="shared" si="30"/>
        <v>2.5502120412189297</v>
      </c>
      <c r="H103" s="65">
        <f t="shared" si="30"/>
        <v>2.9781152732684109</v>
      </c>
      <c r="I103" s="65">
        <f t="shared" si="30"/>
        <v>3.2314532785945169</v>
      </c>
      <c r="J103" s="65">
        <f t="shared" si="30"/>
        <v>3.9018520302379982</v>
      </c>
      <c r="K103" s="65">
        <f t="shared" si="30"/>
        <v>2.920123326290724</v>
      </c>
      <c r="L103" s="65">
        <f t="shared" si="30"/>
        <v>3.2144199392957367</v>
      </c>
      <c r="M103" s="65">
        <f t="shared" si="30"/>
        <v>4.1242433089466486</v>
      </c>
      <c r="N103" s="65">
        <f t="shared" si="30"/>
        <v>4.4252733046106298</v>
      </c>
      <c r="O103" s="65">
        <f t="shared" si="30"/>
        <v>4.7263033002746111</v>
      </c>
      <c r="P103" s="65">
        <f t="shared" si="30"/>
        <v>2.8020240142127295</v>
      </c>
      <c r="Q103" s="65">
        <f t="shared" si="30"/>
        <v>2.6190933306267428</v>
      </c>
      <c r="R103" s="65">
        <f t="shared" si="30"/>
        <v>0</v>
      </c>
      <c r="S103" s="65">
        <f t="shared" si="31"/>
        <v>3.8335132699224794</v>
      </c>
      <c r="T103" s="65">
        <f t="shared" si="31"/>
        <v>2.8689708038433426</v>
      </c>
      <c r="U103" s="65">
        <f t="shared" si="31"/>
        <v>2.7956089126100756</v>
      </c>
      <c r="V103" s="65">
        <f t="shared" si="31"/>
        <v>2.1948243832323562</v>
      </c>
      <c r="W103" s="65">
        <f t="shared" si="8"/>
        <v>2.999983688163836</v>
      </c>
      <c r="Y103" s="143"/>
      <c r="Z103" t="s">
        <v>146</v>
      </c>
      <c r="AA103" s="36">
        <f t="shared" si="9"/>
        <v>0</v>
      </c>
      <c r="AB103" s="36">
        <f t="shared" si="10"/>
        <v>154582.82622189535</v>
      </c>
      <c r="AC103" s="36">
        <f t="shared" si="11"/>
        <v>32168.953531940493</v>
      </c>
      <c r="AD103" s="36">
        <f t="shared" si="12"/>
        <v>35509.197187493643</v>
      </c>
      <c r="AE103" s="36">
        <f t="shared" si="13"/>
        <v>11634.907101740715</v>
      </c>
      <c r="AF103" s="36">
        <f t="shared" si="14"/>
        <v>54880.118297394161</v>
      </c>
      <c r="AG103" s="36">
        <f t="shared" si="15"/>
        <v>124159.17304434365</v>
      </c>
      <c r="AH103" s="36">
        <f t="shared" si="16"/>
        <v>817914.59221773967</v>
      </c>
      <c r="AI103" s="36">
        <f t="shared" si="17"/>
        <v>45082.909378568904</v>
      </c>
      <c r="AJ103" s="36">
        <f t="shared" si="18"/>
        <v>117767.68383032939</v>
      </c>
      <c r="AK103" s="36">
        <f t="shared" si="19"/>
        <v>1423779.661715748</v>
      </c>
      <c r="AL103" s="36">
        <f t="shared" si="20"/>
        <v>2880056.3072919725</v>
      </c>
      <c r="AM103" s="36">
        <f t="shared" si="21"/>
        <v>5561806.5725628398</v>
      </c>
      <c r="AN103" s="36">
        <f t="shared" si="22"/>
        <v>29834.483938120207</v>
      </c>
      <c r="AO103" s="36">
        <f t="shared" si="23"/>
        <v>15188.320277835594</v>
      </c>
      <c r="AP103" s="36">
        <f t="shared" si="24"/>
        <v>0</v>
      </c>
      <c r="AQ103" s="36">
        <f t="shared" si="25"/>
        <v>685440.41742677381</v>
      </c>
      <c r="AR103" s="36">
        <f t="shared" si="26"/>
        <v>37779.941977226459</v>
      </c>
      <c r="AS103" s="36">
        <f t="shared" si="27"/>
        <v>29158.431843136172</v>
      </c>
      <c r="AT103" s="36">
        <f t="shared" si="28"/>
        <v>2594.1660005514145</v>
      </c>
      <c r="AU103" s="36">
        <f t="shared" si="29"/>
        <v>59045.789419844317</v>
      </c>
    </row>
    <row r="104" spans="1:47" ht="14.7" thickBot="1" x14ac:dyDescent="0.6">
      <c r="A104" s="72"/>
      <c r="B104" s="3" t="s">
        <v>37</v>
      </c>
      <c r="C104" s="65">
        <f t="shared" si="30"/>
        <v>0</v>
      </c>
      <c r="D104" s="65">
        <f t="shared" si="30"/>
        <v>2.0981392122602718</v>
      </c>
      <c r="E104" s="65">
        <f t="shared" si="30"/>
        <v>1.6182950992051361</v>
      </c>
      <c r="F104" s="65">
        <f t="shared" si="30"/>
        <v>1.6463238228053798</v>
      </c>
      <c r="G104" s="65">
        <f t="shared" si="30"/>
        <v>1.3452938271413986</v>
      </c>
      <c r="H104" s="65">
        <f t="shared" si="30"/>
        <v>1.7731970591908794</v>
      </c>
      <c r="I104" s="65">
        <f t="shared" si="30"/>
        <v>2.026535064516986</v>
      </c>
      <c r="J104" s="65">
        <f t="shared" si="30"/>
        <v>2.6969338161604668</v>
      </c>
      <c r="K104" s="65">
        <f t="shared" si="30"/>
        <v>1.7152051122131926</v>
      </c>
      <c r="L104" s="65">
        <f t="shared" si="30"/>
        <v>2.0095017252182052</v>
      </c>
      <c r="M104" s="65">
        <f t="shared" si="30"/>
        <v>3.1885077232811039</v>
      </c>
      <c r="N104" s="65">
        <f t="shared" si="30"/>
        <v>3.2203550905330984</v>
      </c>
      <c r="O104" s="65">
        <f t="shared" si="30"/>
        <v>3.5213850861970797</v>
      </c>
      <c r="P104" s="65">
        <f t="shared" si="30"/>
        <v>1.5971058001351981</v>
      </c>
      <c r="Q104" s="65">
        <f t="shared" si="30"/>
        <v>1.4141751165492114</v>
      </c>
      <c r="R104" s="65">
        <f t="shared" si="30"/>
        <v>2.5352952095057604</v>
      </c>
      <c r="S104" s="65">
        <f t="shared" si="31"/>
        <v>2.628595055844948</v>
      </c>
      <c r="T104" s="65">
        <f t="shared" si="31"/>
        <v>1.6640525897658114</v>
      </c>
      <c r="U104" s="65">
        <f t="shared" si="31"/>
        <v>1.5906906985325444</v>
      </c>
      <c r="V104" s="65">
        <f t="shared" si="31"/>
        <v>0.98990616915482466</v>
      </c>
      <c r="W104" s="65">
        <f t="shared" si="8"/>
        <v>1.7950654740863043</v>
      </c>
      <c r="Y104" s="143"/>
      <c r="Z104" t="s">
        <v>147</v>
      </c>
      <c r="AA104" s="36">
        <f t="shared" si="9"/>
        <v>0</v>
      </c>
      <c r="AB104" s="36">
        <f t="shared" si="10"/>
        <v>1653.2670263267757</v>
      </c>
      <c r="AC104" s="36">
        <f t="shared" si="11"/>
        <v>123.19049187254261</v>
      </c>
      <c r="AD104" s="36">
        <f t="shared" si="12"/>
        <v>146.26911242190781</v>
      </c>
      <c r="AE104" s="36">
        <f t="shared" si="13"/>
        <v>19.416524470891655</v>
      </c>
      <c r="AF104" s="36">
        <f t="shared" si="14"/>
        <v>307.30528098984428</v>
      </c>
      <c r="AG104" s="36">
        <f t="shared" si="15"/>
        <v>1168.2646239214514</v>
      </c>
      <c r="AH104" s="36">
        <f t="shared" si="16"/>
        <v>20356.489625908685</v>
      </c>
      <c r="AI104" s="36">
        <f t="shared" si="17"/>
        <v>220.37413690927099</v>
      </c>
      <c r="AJ104" s="36">
        <f t="shared" si="18"/>
        <v>1073.7021773994661</v>
      </c>
      <c r="AK104" s="36">
        <f t="shared" si="19"/>
        <v>108611.23020320185</v>
      </c>
      <c r="AL104" s="36">
        <f t="shared" si="20"/>
        <v>119960.31999742547</v>
      </c>
      <c r="AM104" s="36">
        <f t="shared" si="21"/>
        <v>293180.58408977848</v>
      </c>
      <c r="AN104" s="36">
        <f t="shared" si="22"/>
        <v>107.97839527947809</v>
      </c>
      <c r="AO104" s="36">
        <f t="shared" si="23"/>
        <v>31.991301767252985</v>
      </c>
      <c r="AP104" s="36">
        <f t="shared" si="24"/>
        <v>10971.988864651101</v>
      </c>
      <c r="AQ104" s="36">
        <f t="shared" si="25"/>
        <v>15748.415587255724</v>
      </c>
      <c r="AR104" s="36">
        <f t="shared" si="26"/>
        <v>162.80602528957021</v>
      </c>
      <c r="AS104" s="36">
        <f t="shared" si="27"/>
        <v>103.71878382046441</v>
      </c>
      <c r="AT104" s="36">
        <f t="shared" si="28"/>
        <v>0.90352527954472472</v>
      </c>
      <c r="AU104" s="36">
        <f t="shared" si="29"/>
        <v>347.3785025401948</v>
      </c>
    </row>
    <row r="105" spans="1:47" ht="14.7" thickBot="1" x14ac:dyDescent="0.6">
      <c r="A105" s="72"/>
      <c r="B105" s="3" t="s">
        <v>38</v>
      </c>
      <c r="C105" s="65">
        <f t="shared" si="30"/>
        <v>0</v>
      </c>
      <c r="D105" s="65">
        <f t="shared" si="30"/>
        <v>3.0544155001335103</v>
      </c>
      <c r="E105" s="65">
        <f t="shared" si="30"/>
        <v>2.5745713870783744</v>
      </c>
      <c r="F105" s="65">
        <f t="shared" si="30"/>
        <v>2.6026001106786181</v>
      </c>
      <c r="G105" s="65">
        <f t="shared" si="30"/>
        <v>2.3015701150146368</v>
      </c>
      <c r="H105" s="65">
        <f t="shared" si="30"/>
        <v>2.7294733470641179</v>
      </c>
      <c r="I105" s="65">
        <f t="shared" si="30"/>
        <v>2.982811352390224</v>
      </c>
      <c r="J105" s="65">
        <f t="shared" si="30"/>
        <v>3.6532101040337053</v>
      </c>
      <c r="K105" s="65">
        <f t="shared" si="30"/>
        <v>2.6714814000864311</v>
      </c>
      <c r="L105" s="65">
        <f t="shared" si="30"/>
        <v>2.9657780130914437</v>
      </c>
      <c r="M105" s="65">
        <f t="shared" si="30"/>
        <v>3.986497041967187</v>
      </c>
      <c r="N105" s="65">
        <f t="shared" si="30"/>
        <v>4.1766313784063369</v>
      </c>
      <c r="O105" s="65">
        <f t="shared" si="30"/>
        <v>4.4776613740703182</v>
      </c>
      <c r="P105" s="65">
        <f t="shared" si="30"/>
        <v>2.5533820880084366</v>
      </c>
      <c r="Q105" s="65">
        <f t="shared" si="30"/>
        <v>2.3704514044224498</v>
      </c>
      <c r="R105" s="65">
        <f t="shared" si="30"/>
        <v>3.3984801280226935</v>
      </c>
      <c r="S105" s="65">
        <f t="shared" si="31"/>
        <v>3.5848713437181865</v>
      </c>
      <c r="T105" s="65">
        <f t="shared" si="31"/>
        <v>2.6203288776390496</v>
      </c>
      <c r="U105" s="65">
        <f t="shared" si="31"/>
        <v>2.5469669864057827</v>
      </c>
      <c r="V105" s="65">
        <f t="shared" si="31"/>
        <v>1.946182457028063</v>
      </c>
      <c r="W105" s="65">
        <f t="shared" si="8"/>
        <v>2.7513417619595431</v>
      </c>
      <c r="Y105" s="143"/>
      <c r="Z105" t="s">
        <v>148</v>
      </c>
      <c r="AA105" s="36">
        <f t="shared" si="9"/>
        <v>0</v>
      </c>
      <c r="AB105" s="36">
        <f t="shared" si="10"/>
        <v>70677.495161604093</v>
      </c>
      <c r="AC105" s="36">
        <f t="shared" si="11"/>
        <v>12795.267902167185</v>
      </c>
      <c r="AD105" s="36">
        <f t="shared" si="12"/>
        <v>14258.519673495965</v>
      </c>
      <c r="AE105" s="36">
        <f t="shared" si="13"/>
        <v>4171.0183237422843</v>
      </c>
      <c r="AF105" s="36">
        <f t="shared" si="14"/>
        <v>22950.311175315295</v>
      </c>
      <c r="AG105" s="36">
        <f t="shared" si="15"/>
        <v>55751.669012109829</v>
      </c>
      <c r="AH105" s="36">
        <f t="shared" si="16"/>
        <v>423395.7569895885</v>
      </c>
      <c r="AI105" s="36">
        <f t="shared" si="17"/>
        <v>18514.907556381495</v>
      </c>
      <c r="AJ105" s="36">
        <f t="shared" si="18"/>
        <v>52648.549666167899</v>
      </c>
      <c r="AK105" s="36">
        <f t="shared" si="19"/>
        <v>1013711.7063825773</v>
      </c>
      <c r="AL105" s="36">
        <f t="shared" si="20"/>
        <v>1615330.7832089087</v>
      </c>
      <c r="AM105" s="36">
        <f t="shared" si="21"/>
        <v>3239757.2241180688</v>
      </c>
      <c r="AN105" s="36">
        <f t="shared" si="22"/>
        <v>11780.346773177162</v>
      </c>
      <c r="AO105" s="36">
        <f t="shared" si="23"/>
        <v>5601.580281937071</v>
      </c>
      <c r="AP105" s="36">
        <f t="shared" si="24"/>
        <v>205516.80897778834</v>
      </c>
      <c r="AQ105" s="36">
        <f t="shared" si="25"/>
        <v>350538.5132160018</v>
      </c>
      <c r="AR105" s="36">
        <f t="shared" si="26"/>
        <v>15260.122878270095</v>
      </c>
      <c r="AS105" s="36">
        <f t="shared" si="27"/>
        <v>11487.701893467711</v>
      </c>
      <c r="AT105" s="36">
        <f t="shared" si="28"/>
        <v>779.53484874589913</v>
      </c>
      <c r="AU105" s="36">
        <f t="shared" si="29"/>
        <v>24856.810572339225</v>
      </c>
    </row>
    <row r="106" spans="1:47" ht="14.7" thickBot="1" x14ac:dyDescent="0.6">
      <c r="A106" s="72"/>
      <c r="B106" s="3" t="s">
        <v>39</v>
      </c>
      <c r="C106" s="65">
        <f t="shared" si="30"/>
        <v>0</v>
      </c>
      <c r="D106" s="65">
        <f t="shared" si="30"/>
        <v>-0.20209255198210269</v>
      </c>
      <c r="E106" s="65">
        <f t="shared" si="30"/>
        <v>-0.68193666503723849</v>
      </c>
      <c r="F106" s="65">
        <f t="shared" si="30"/>
        <v>-0.65390794143699493</v>
      </c>
      <c r="G106" s="65">
        <f t="shared" si="30"/>
        <v>-0.95493793710097608</v>
      </c>
      <c r="H106" s="65">
        <f t="shared" si="30"/>
        <v>-0.5270347050514953</v>
      </c>
      <c r="I106" s="65">
        <f t="shared" si="30"/>
        <v>-0.2736966997253889</v>
      </c>
      <c r="J106" s="65">
        <f t="shared" si="30"/>
        <v>0.39670205191809232</v>
      </c>
      <c r="K106" s="65">
        <f t="shared" si="30"/>
        <v>-0.58502665202918203</v>
      </c>
      <c r="L106" s="65">
        <f t="shared" si="30"/>
        <v>-0.29073003902416922</v>
      </c>
      <c r="M106" s="65">
        <f t="shared" si="30"/>
        <v>0.61909333062674277</v>
      </c>
      <c r="N106" s="65">
        <f t="shared" si="30"/>
        <v>0.92012332629072391</v>
      </c>
      <c r="O106" s="65">
        <f t="shared" si="30"/>
        <v>1.2211533219547051</v>
      </c>
      <c r="P106" s="65">
        <f t="shared" si="30"/>
        <v>-0.70312596410717654</v>
      </c>
      <c r="Q106" s="65">
        <f t="shared" si="30"/>
        <v>-0.88605664769316317</v>
      </c>
      <c r="R106" s="65">
        <f t="shared" si="30"/>
        <v>0</v>
      </c>
      <c r="S106" s="65">
        <f t="shared" si="31"/>
        <v>0.32836329160257344</v>
      </c>
      <c r="T106" s="65">
        <f t="shared" si="31"/>
        <v>-0.63617917447656336</v>
      </c>
      <c r="U106" s="65">
        <f t="shared" si="31"/>
        <v>-0.70954106570983022</v>
      </c>
      <c r="V106" s="65">
        <f t="shared" si="31"/>
        <v>-1.3103255950875499</v>
      </c>
      <c r="W106" s="65">
        <f t="shared" si="8"/>
        <v>-0.50516629015607017</v>
      </c>
      <c r="Y106" s="143"/>
      <c r="Z106" t="s">
        <v>149</v>
      </c>
      <c r="AA106" s="36">
        <f t="shared" si="9"/>
        <v>0</v>
      </c>
      <c r="AB106" s="36">
        <f t="shared" si="10"/>
        <v>1.1363263592657894E-7</v>
      </c>
      <c r="AC106" s="36">
        <f t="shared" si="11"/>
        <v>2.1749056109500054E-2</v>
      </c>
      <c r="AD106" s="36">
        <f t="shared" si="12"/>
        <v>1.4294406135016112E-2</v>
      </c>
      <c r="AE106" s="36">
        <f t="shared" si="13"/>
        <v>0.63059637560615545</v>
      </c>
      <c r="AF106" s="36">
        <f t="shared" si="14"/>
        <v>1.6534540983667476E-3</v>
      </c>
      <c r="AG106" s="36">
        <f t="shared" si="15"/>
        <v>2.3588243729874592E-6</v>
      </c>
      <c r="AH106" s="36">
        <f t="shared" si="16"/>
        <v>9.6526035307856875E-5</v>
      </c>
      <c r="AI106" s="36">
        <f t="shared" si="17"/>
        <v>4.6963074046711224E-3</v>
      </c>
      <c r="AJ106" s="36">
        <f t="shared" si="18"/>
        <v>4.3141879935643578E-6</v>
      </c>
      <c r="AK106" s="36">
        <f t="shared" si="19"/>
        <v>8.2710615878191177E-3</v>
      </c>
      <c r="AL106" s="36">
        <f t="shared" si="20"/>
        <v>0.43497110470299782</v>
      </c>
      <c r="AM106" s="36">
        <f t="shared" si="21"/>
        <v>7.3739799479454007</v>
      </c>
      <c r="AN106" s="36">
        <f t="shared" si="22"/>
        <v>2.9534617644329877E-2</v>
      </c>
      <c r="AO106" s="36">
        <f t="shared" si="23"/>
        <v>0.29827364568361475</v>
      </c>
      <c r="AP106" s="36">
        <f t="shared" si="24"/>
        <v>0</v>
      </c>
      <c r="AQ106" s="36">
        <f t="shared" si="25"/>
        <v>1.4572900679557517E-5</v>
      </c>
      <c r="AR106" s="36">
        <f t="shared" si="26"/>
        <v>1.0859116249686461E-2</v>
      </c>
      <c r="AS106" s="36">
        <f t="shared" si="27"/>
        <v>3.2342632005716083E-2</v>
      </c>
      <c r="AT106" s="36">
        <f t="shared" si="28"/>
        <v>14.920804615735499</v>
      </c>
      <c r="AU106" s="36">
        <f t="shared" si="29"/>
        <v>1.0822899432511937E-3</v>
      </c>
    </row>
    <row r="107" spans="1:47" ht="14.7" thickBot="1" x14ac:dyDescent="0.6">
      <c r="A107" s="72"/>
      <c r="B107" s="3" t="s">
        <v>40</v>
      </c>
      <c r="C107" s="65">
        <f t="shared" si="30"/>
        <v>-3.7099653886374822</v>
      </c>
      <c r="D107" s="65">
        <f t="shared" si="30"/>
        <v>-3.5311512712463275</v>
      </c>
      <c r="E107" s="65">
        <f t="shared" si="30"/>
        <v>-4.010995384301463</v>
      </c>
      <c r="F107" s="65">
        <f t="shared" si="30"/>
        <v>-3.9829666607012197</v>
      </c>
      <c r="G107" s="65">
        <f t="shared" si="30"/>
        <v>-4.2839966563652006</v>
      </c>
      <c r="H107" s="65">
        <f t="shared" si="30"/>
        <v>-3.8560934243157199</v>
      </c>
      <c r="I107" s="65">
        <f t="shared" si="30"/>
        <v>-3.6027554189896138</v>
      </c>
      <c r="J107" s="65">
        <f t="shared" si="30"/>
        <v>-2.9323566673461325</v>
      </c>
      <c r="K107" s="65">
        <f t="shared" si="30"/>
        <v>-3.9140853712934067</v>
      </c>
      <c r="L107" s="65">
        <f t="shared" si="30"/>
        <v>-2.2394285907553937</v>
      </c>
      <c r="M107" s="65">
        <f t="shared" si="30"/>
        <v>-0.97225686235237974</v>
      </c>
      <c r="N107" s="65">
        <f t="shared" si="30"/>
        <v>-1.6712268666883985</v>
      </c>
      <c r="O107" s="65">
        <f t="shared" si="30"/>
        <v>-0.97225686235237974</v>
      </c>
      <c r="P107" s="65">
        <f t="shared" si="30"/>
        <v>-3.4316493501116105</v>
      </c>
      <c r="Q107" s="65">
        <f t="shared" si="30"/>
        <v>-3.778436836336267</v>
      </c>
      <c r="R107" s="65">
        <f t="shared" si="30"/>
        <v>-1.6254693761277235</v>
      </c>
      <c r="S107" s="65">
        <f t="shared" si="31"/>
        <v>-3.0006954276616513</v>
      </c>
      <c r="T107" s="65">
        <f t="shared" si="31"/>
        <v>-3.9652378937407882</v>
      </c>
      <c r="U107" s="65">
        <f t="shared" si="31"/>
        <v>-4.0385997849740551</v>
      </c>
      <c r="V107" s="65">
        <f t="shared" si="31"/>
        <v>-4.6393843143517746</v>
      </c>
      <c r="W107" s="65">
        <f t="shared" si="8"/>
        <v>-3.4774068406722858</v>
      </c>
      <c r="Y107" s="143"/>
      <c r="Z107" t="s">
        <v>150</v>
      </c>
      <c r="AA107" s="36">
        <f t="shared" si="9"/>
        <v>493967.73174187046</v>
      </c>
      <c r="AB107" s="36">
        <f t="shared" si="10"/>
        <v>301413.86598241754</v>
      </c>
      <c r="AC107" s="36">
        <f t="shared" si="11"/>
        <v>1077758.9105103256</v>
      </c>
      <c r="AD107" s="36">
        <f t="shared" si="12"/>
        <v>1004770.1206662476</v>
      </c>
      <c r="AE107" s="36">
        <f t="shared" si="13"/>
        <v>2082050.3699323211</v>
      </c>
      <c r="AF107" s="36">
        <f t="shared" si="14"/>
        <v>726901.34625763644</v>
      </c>
      <c r="AG107" s="36">
        <f t="shared" si="15"/>
        <v>368423.90450081136</v>
      </c>
      <c r="AH107" s="36">
        <f t="shared" si="16"/>
        <v>47007.584057793953</v>
      </c>
      <c r="AI107" s="36">
        <f t="shared" si="17"/>
        <v>843923.22611813655</v>
      </c>
      <c r="AJ107" s="36">
        <f t="shared" si="18"/>
        <v>3172.2849103153399</v>
      </c>
      <c r="AK107" s="36">
        <f t="shared" si="19"/>
        <v>0.75476225185246271</v>
      </c>
      <c r="AL107" s="36">
        <f t="shared" si="20"/>
        <v>169.96288236227704</v>
      </c>
      <c r="AM107" s="36">
        <f t="shared" si="21"/>
        <v>0.75476225185246271</v>
      </c>
      <c r="AN107" s="36">
        <f t="shared" si="22"/>
        <v>226479.5780997574</v>
      </c>
      <c r="AO107" s="36">
        <f t="shared" si="23"/>
        <v>593091.45324569568</v>
      </c>
      <c r="AP107" s="36">
        <f t="shared" si="24"/>
        <v>128.76206053476241</v>
      </c>
      <c r="AQ107" s="36">
        <f t="shared" si="25"/>
        <v>59186.023901221561</v>
      </c>
      <c r="AR107" s="36">
        <f t="shared" si="26"/>
        <v>960931.60722889076</v>
      </c>
      <c r="AS107" s="36">
        <f t="shared" si="27"/>
        <v>1154272.0461889252</v>
      </c>
      <c r="AT107" s="36">
        <f t="shared" si="28"/>
        <v>4619590.6979450127</v>
      </c>
      <c r="AU107" s="36">
        <f t="shared" si="29"/>
        <v>258556.25054078078</v>
      </c>
    </row>
    <row r="108" spans="1:47" ht="14.7" thickBot="1" x14ac:dyDescent="0.6">
      <c r="A108" s="72"/>
      <c r="B108" t="s">
        <v>133</v>
      </c>
      <c r="C108" s="65">
        <f t="shared" si="30"/>
        <v>0</v>
      </c>
      <c r="D108" s="65">
        <f t="shared" si="30"/>
        <v>4.6040874220017844</v>
      </c>
      <c r="E108" s="65">
        <f t="shared" si="30"/>
        <v>4.1242433089466486</v>
      </c>
      <c r="F108" s="65">
        <f t="shared" si="30"/>
        <v>4.1522720325468923</v>
      </c>
      <c r="G108" s="65">
        <f t="shared" si="30"/>
        <v>3.851242036882911</v>
      </c>
      <c r="H108" s="65">
        <f t="shared" si="30"/>
        <v>4.2791452689323917</v>
      </c>
      <c r="I108" s="65">
        <f t="shared" si="30"/>
        <v>4.5324832742584986</v>
      </c>
      <c r="J108" s="65">
        <f t="shared" si="30"/>
        <v>5.2028820259019799</v>
      </c>
      <c r="K108" s="65">
        <f t="shared" si="30"/>
        <v>0</v>
      </c>
      <c r="L108" s="65">
        <f t="shared" si="30"/>
        <v>4.5383128179192225</v>
      </c>
      <c r="M108" s="65">
        <f t="shared" si="30"/>
        <v>0</v>
      </c>
      <c r="N108" s="65">
        <f t="shared" si="30"/>
        <v>0</v>
      </c>
      <c r="O108" s="65">
        <f t="shared" si="30"/>
        <v>0</v>
      </c>
      <c r="P108" s="65">
        <f t="shared" si="30"/>
        <v>4.1030540098767103</v>
      </c>
      <c r="Q108" s="65">
        <f t="shared" si="30"/>
        <v>3.920123326290724</v>
      </c>
      <c r="R108" s="65">
        <f t="shared" si="30"/>
        <v>0</v>
      </c>
      <c r="S108" s="65">
        <f t="shared" si="31"/>
        <v>5.1345432655864611</v>
      </c>
      <c r="T108" s="65">
        <f t="shared" si="31"/>
        <v>4.1700007995073243</v>
      </c>
      <c r="U108" s="65">
        <f t="shared" si="31"/>
        <v>4.0966389082740573</v>
      </c>
      <c r="V108" s="65">
        <f t="shared" si="31"/>
        <v>3.495854378896337</v>
      </c>
      <c r="W108" s="65">
        <f t="shared" si="8"/>
        <v>0</v>
      </c>
      <c r="Y108" s="143"/>
      <c r="Z108" t="s">
        <v>151</v>
      </c>
      <c r="AA108" s="36">
        <f t="shared" si="9"/>
        <v>0</v>
      </c>
      <c r="AB108" s="36">
        <f t="shared" si="10"/>
        <v>4279919.6307014283</v>
      </c>
      <c r="AC108" s="36">
        <f t="shared" si="11"/>
        <v>1423779.661715748</v>
      </c>
      <c r="AD108" s="36">
        <f t="shared" si="12"/>
        <v>1523554.4571508593</v>
      </c>
      <c r="AE108" s="36">
        <f t="shared" si="13"/>
        <v>717807.73423803621</v>
      </c>
      <c r="AF108" s="36">
        <f t="shared" si="14"/>
        <v>2058592.1016275289</v>
      </c>
      <c r="AG108" s="36">
        <f t="shared" si="15"/>
        <v>3658997.4042983539</v>
      </c>
      <c r="AH108" s="36">
        <f t="shared" si="16"/>
        <v>14535828.316323765</v>
      </c>
      <c r="AI108" s="36">
        <f t="shared" si="17"/>
        <v>0</v>
      </c>
      <c r="AJ108" s="36">
        <f t="shared" si="18"/>
        <v>3706331.6422260762</v>
      </c>
      <c r="AK108" s="36">
        <f t="shared" si="19"/>
        <v>0</v>
      </c>
      <c r="AL108" s="36">
        <f t="shared" si="20"/>
        <v>0</v>
      </c>
      <c r="AM108" s="36">
        <f t="shared" si="21"/>
        <v>0</v>
      </c>
      <c r="AN108" s="36">
        <f t="shared" si="22"/>
        <v>1352297.7881270673</v>
      </c>
      <c r="AO108" s="36">
        <f t="shared" si="23"/>
        <v>857032.51809314452</v>
      </c>
      <c r="AP108" s="36">
        <f t="shared" si="24"/>
        <v>0</v>
      </c>
      <c r="AQ108" s="36">
        <f t="shared" si="25"/>
        <v>12735563.845315181</v>
      </c>
      <c r="AR108" s="36">
        <f t="shared" si="26"/>
        <v>1589869.1502833262</v>
      </c>
      <c r="AS108" s="36">
        <f t="shared" si="27"/>
        <v>1331302.8276362228</v>
      </c>
      <c r="AT108" s="36">
        <f t="shared" si="28"/>
        <v>272604.69821295782</v>
      </c>
      <c r="AU108" s="36">
        <f t="shared" si="29"/>
        <v>0</v>
      </c>
    </row>
    <row r="109" spans="1:47" x14ac:dyDescent="0.55000000000000004">
      <c r="A109" s="72"/>
      <c r="B109" s="8" t="s">
        <v>42</v>
      </c>
      <c r="C109" s="65">
        <f t="shared" si="30"/>
        <v>0</v>
      </c>
      <c r="D109" s="65">
        <f t="shared" si="30"/>
        <v>3.5223597729929295</v>
      </c>
      <c r="E109" s="65">
        <f t="shared" si="30"/>
        <v>3.0425156599377936</v>
      </c>
      <c r="F109" s="65">
        <f t="shared" si="30"/>
        <v>3.0705443835380373</v>
      </c>
      <c r="G109" s="65">
        <f t="shared" si="30"/>
        <v>2.769514387874056</v>
      </c>
      <c r="H109" s="65">
        <f t="shared" si="30"/>
        <v>3.1974176199235367</v>
      </c>
      <c r="I109" s="65">
        <f t="shared" si="30"/>
        <v>3.4507556252496432</v>
      </c>
      <c r="J109" s="65">
        <f t="shared" si="30"/>
        <v>4.1211543768931245</v>
      </c>
      <c r="K109" s="65">
        <f t="shared" si="30"/>
        <v>3.1394256729458498</v>
      </c>
      <c r="L109" s="65">
        <f t="shared" si="30"/>
        <v>3.4337222859508629</v>
      </c>
      <c r="M109" s="65">
        <f t="shared" si="30"/>
        <v>4.4684843922100743</v>
      </c>
      <c r="N109" s="65">
        <f t="shared" si="30"/>
        <v>4.6445756512657557</v>
      </c>
      <c r="O109" s="65">
        <f t="shared" si="30"/>
        <v>4.9456056469297369</v>
      </c>
      <c r="P109" s="65">
        <f t="shared" si="30"/>
        <v>3.0213263608678553</v>
      </c>
      <c r="Q109" s="65">
        <f t="shared" si="30"/>
        <v>2.8383956772818686</v>
      </c>
      <c r="R109" s="65">
        <f t="shared" si="30"/>
        <v>3.8664244008821123</v>
      </c>
      <c r="S109" s="65">
        <f t="shared" si="31"/>
        <v>4.0528156165776057</v>
      </c>
      <c r="T109" s="65">
        <f t="shared" si="31"/>
        <v>3.0882731504984688</v>
      </c>
      <c r="U109" s="65">
        <f t="shared" si="31"/>
        <v>3.0149112592652019</v>
      </c>
      <c r="V109" s="65">
        <f t="shared" si="31"/>
        <v>2.414126729887482</v>
      </c>
      <c r="W109" s="65">
        <f t="shared" si="8"/>
        <v>3.2192860348189618</v>
      </c>
      <c r="Y109" s="143"/>
      <c r="Z109" t="s">
        <v>152</v>
      </c>
      <c r="AA109" s="36">
        <f t="shared" si="9"/>
        <v>0</v>
      </c>
      <c r="AB109" s="36">
        <f t="shared" si="10"/>
        <v>293993.09232094791</v>
      </c>
      <c r="AC109" s="36">
        <f t="shared" si="11"/>
        <v>67971.714153493594</v>
      </c>
      <c r="AD109" s="36">
        <f t="shared" si="12"/>
        <v>74499.574658654528</v>
      </c>
      <c r="AE109" s="36">
        <f t="shared" si="13"/>
        <v>26548.271897261198</v>
      </c>
      <c r="AF109" s="36">
        <f t="shared" si="14"/>
        <v>111684.68891332099</v>
      </c>
      <c r="AG109" s="36">
        <f t="shared" si="15"/>
        <v>239409.867463095</v>
      </c>
      <c r="AH109" s="36">
        <f t="shared" si="16"/>
        <v>1413151.8564245685</v>
      </c>
      <c r="AI109" s="36">
        <f t="shared" si="17"/>
        <v>93004.091412962909</v>
      </c>
      <c r="AJ109" s="36">
        <f t="shared" si="18"/>
        <v>227851.38453911748</v>
      </c>
      <c r="AK109" s="36">
        <f t="shared" si="19"/>
        <v>3173967.3390308814</v>
      </c>
      <c r="AL109" s="36">
        <f t="shared" si="20"/>
        <v>4671543.6481995489</v>
      </c>
      <c r="AM109" s="36">
        <f t="shared" si="21"/>
        <v>8753764.0417881869</v>
      </c>
      <c r="AN109" s="36">
        <f t="shared" si="22"/>
        <v>63383.526552377247</v>
      </c>
      <c r="AO109" s="36">
        <f t="shared" si="23"/>
        <v>33941.369951701905</v>
      </c>
      <c r="AP109" s="36">
        <f t="shared" si="24"/>
        <v>746612.45332289557</v>
      </c>
      <c r="AQ109" s="36">
        <f t="shared" si="25"/>
        <v>1195551.9689274046</v>
      </c>
      <c r="AR109" s="36">
        <f t="shared" si="26"/>
        <v>78914.545008652654</v>
      </c>
      <c r="AS109" s="36">
        <f t="shared" si="27"/>
        <v>62050.507324845166</v>
      </c>
      <c r="AT109" s="36">
        <f t="shared" si="28"/>
        <v>6723.5810894705164</v>
      </c>
      <c r="AU109" s="36">
        <f t="shared" si="29"/>
        <v>119562.68416896314</v>
      </c>
    </row>
    <row r="110" spans="1:47" x14ac:dyDescent="0.55000000000000004">
      <c r="A110" s="72"/>
      <c r="B110" s="11"/>
      <c r="C110" s="11"/>
      <c r="D110" s="56"/>
      <c r="Y110" s="143"/>
    </row>
    <row r="111" spans="1:47" x14ac:dyDescent="0.55000000000000004">
      <c r="A111" s="72"/>
      <c r="B111" s="144" t="s">
        <v>141</v>
      </c>
      <c r="C111" s="144"/>
      <c r="D111" s="144"/>
      <c r="E111" s="144"/>
      <c r="F111" s="144"/>
      <c r="G111" s="144"/>
      <c r="H111" s="144"/>
      <c r="I111" s="144"/>
      <c r="J111" s="144"/>
      <c r="K111" s="144"/>
      <c r="L111" s="144"/>
      <c r="M111" s="144"/>
      <c r="N111" s="144"/>
      <c r="O111" s="144"/>
      <c r="P111" s="144"/>
      <c r="Q111" s="144"/>
      <c r="R111" s="144"/>
      <c r="S111" s="144"/>
      <c r="T111" s="144"/>
      <c r="U111" s="144"/>
      <c r="V111" s="144"/>
      <c r="W111" s="144"/>
      <c r="Y111" s="143"/>
      <c r="Z111" s="144" t="s">
        <v>141</v>
      </c>
      <c r="AA111" s="144"/>
      <c r="AB111" s="144"/>
      <c r="AC111" s="144"/>
      <c r="AD111" s="144"/>
      <c r="AE111" s="144"/>
      <c r="AF111" s="144"/>
      <c r="AG111" s="144"/>
      <c r="AH111" s="144"/>
      <c r="AI111" s="144"/>
      <c r="AJ111" s="144"/>
      <c r="AK111" s="144"/>
      <c r="AL111" s="144"/>
      <c r="AM111" s="144"/>
      <c r="AN111" s="144"/>
      <c r="AO111" s="144"/>
      <c r="AP111" s="144"/>
      <c r="AQ111" s="144"/>
      <c r="AR111" s="144"/>
      <c r="AS111" s="144"/>
      <c r="AT111" s="144"/>
      <c r="AU111" s="144"/>
    </row>
    <row r="112" spans="1:47" ht="14.7" thickBot="1" x14ac:dyDescent="0.6">
      <c r="A112" s="72"/>
      <c r="B112" s="17" t="s">
        <v>134</v>
      </c>
      <c r="C112" t="str">
        <f>'Top Level Case Parameters'!B$34</f>
        <v>Virtex-5QV</v>
      </c>
      <c r="D112" t="str">
        <f>'Top Level Case Parameters'!C$34</f>
        <v>RTG4</v>
      </c>
      <c r="E112" t="str">
        <f>'Top Level Case Parameters'!D$34</f>
        <v>Polarfire</v>
      </c>
      <c r="F112" t="str">
        <f>'Top Level Case Parameters'!E$34</f>
        <v>Kintex-7Q</v>
      </c>
      <c r="G112" t="str">
        <f>'Top Level Case Parameters'!F$34</f>
        <v>Virtex-7Q</v>
      </c>
      <c r="H112" t="str">
        <f>'Top Level Case Parameters'!G$34</f>
        <v>RT Kintex Ultrascale</v>
      </c>
      <c r="I112" t="str">
        <f>'Top Level Case Parameters'!H$34</f>
        <v>NG-Ultra</v>
      </c>
      <c r="J112" t="str">
        <f>'Top Level Case Parameters'!I$34</f>
        <v>SmartFusion2</v>
      </c>
      <c r="K112" t="str">
        <f>'Top Level Case Parameters'!J$34</f>
        <v>Tegra X1</v>
      </c>
      <c r="L112" t="str">
        <f>'Top Level Case Parameters'!K$34</f>
        <v>RAD5545</v>
      </c>
      <c r="M112" t="str">
        <f>'Top Level Case Parameters'!L$34</f>
        <v>RAD750</v>
      </c>
      <c r="N112" t="str">
        <f>'Top Level Case Parameters'!M$34</f>
        <v>GR740</v>
      </c>
      <c r="O112" t="str">
        <f>'Top Level Case Parameters'!N$34</f>
        <v>GR712RC</v>
      </c>
      <c r="P112" t="str">
        <f>'Top Level Case Parameters'!O$34</f>
        <v>LS1046-Space</v>
      </c>
      <c r="Q112" t="str">
        <f>'Top Level Case Parameters'!P$34</f>
        <v>HPSC</v>
      </c>
      <c r="R112" t="str">
        <f>'Top Level Case Parameters'!Q$34</f>
        <v>E698PM</v>
      </c>
      <c r="S112" t="str">
        <f>'Top Level Case Parameters'!R$34</f>
        <v>RC64</v>
      </c>
      <c r="T112" t="str">
        <f>'Top Level Case Parameters'!S$34</f>
        <v>TI 66AK2Hxx</v>
      </c>
      <c r="U112" t="str">
        <f>'Top Level Case Parameters'!T$34</f>
        <v>SnapDragon 855</v>
      </c>
      <c r="V112" t="str">
        <f>'Top Level Case Parameters'!U$34</f>
        <v>XQR Versal</v>
      </c>
      <c r="W112" t="str">
        <f>'Top Level Case Parameters'!V$34</f>
        <v>HISAOR</v>
      </c>
      <c r="Y112" s="143"/>
      <c r="Z112" s="17" t="s">
        <v>134</v>
      </c>
      <c r="AA112" t="s">
        <v>70</v>
      </c>
      <c r="AB112" t="s">
        <v>73</v>
      </c>
      <c r="AC112" t="s">
        <v>74</v>
      </c>
      <c r="AD112" t="s">
        <v>76</v>
      </c>
      <c r="AE112" t="s">
        <v>78</v>
      </c>
      <c r="AF112" t="s">
        <v>79</v>
      </c>
      <c r="AG112" t="s">
        <v>80</v>
      </c>
      <c r="AH112" t="s">
        <v>81</v>
      </c>
      <c r="AI112" t="s">
        <v>82</v>
      </c>
      <c r="AJ112" t="s">
        <v>84</v>
      </c>
      <c r="AK112" t="s">
        <v>86</v>
      </c>
      <c r="AL112" t="s">
        <v>88</v>
      </c>
      <c r="AM112" t="s">
        <v>89</v>
      </c>
      <c r="AN112" t="s">
        <v>90</v>
      </c>
      <c r="AO112" t="s">
        <v>91</v>
      </c>
      <c r="AP112" t="s">
        <v>92</v>
      </c>
      <c r="AQ112" t="s">
        <v>94</v>
      </c>
      <c r="AR112" t="s">
        <v>96</v>
      </c>
      <c r="AS112" t="s">
        <v>98</v>
      </c>
      <c r="AT112" t="s">
        <v>100</v>
      </c>
      <c r="AU112" t="s">
        <v>102</v>
      </c>
    </row>
    <row r="113" spans="1:47" ht="14.7" thickBot="1" x14ac:dyDescent="0.6">
      <c r="A113" s="72"/>
      <c r="B113" s="5" t="s">
        <v>31</v>
      </c>
      <c r="C113" s="65">
        <f>IF($AD3&gt;C$49,0,LOG10(MAX($AB3/C$47,$AE3/C$48)))</f>
        <v>0</v>
      </c>
      <c r="D113" s="65">
        <f t="shared" ref="D113:W113" si="33">IF($AD3&gt;D$49,0,LOG10(MAX($AB3/D$47,$AE3/D$48)))</f>
        <v>4.6422072566105479</v>
      </c>
      <c r="E113" s="65">
        <f t="shared" si="33"/>
        <v>4.162363143555412</v>
      </c>
      <c r="F113" s="65">
        <f t="shared" si="33"/>
        <v>4.1903918671556557</v>
      </c>
      <c r="G113" s="65">
        <f t="shared" si="33"/>
        <v>3.889361871491674</v>
      </c>
      <c r="H113" s="65">
        <f t="shared" si="33"/>
        <v>4.3172651035411551</v>
      </c>
      <c r="I113" s="65">
        <f t="shared" si="33"/>
        <v>4.5706031088672612</v>
      </c>
      <c r="J113" s="65">
        <f t="shared" si="33"/>
        <v>5.2410018605107425</v>
      </c>
      <c r="K113" s="65">
        <f t="shared" si="33"/>
        <v>4.2592731565634683</v>
      </c>
      <c r="L113" s="65">
        <f t="shared" si="33"/>
        <v>6.1651286822979658</v>
      </c>
      <c r="M113" s="65">
        <f t="shared" si="33"/>
        <v>7.4323004107009796</v>
      </c>
      <c r="N113" s="65">
        <f t="shared" si="33"/>
        <v>6.7333304063649608</v>
      </c>
      <c r="O113" s="65">
        <f t="shared" si="33"/>
        <v>7.4323004107009796</v>
      </c>
      <c r="P113" s="65">
        <f t="shared" si="33"/>
        <v>4.972907922941749</v>
      </c>
      <c r="Q113" s="65">
        <f t="shared" si="33"/>
        <v>4.6261204367170929</v>
      </c>
      <c r="R113" s="65">
        <f t="shared" si="33"/>
        <v>6.7790878969256365</v>
      </c>
      <c r="S113" s="65">
        <f t="shared" si="33"/>
        <v>5.3353903976929233</v>
      </c>
      <c r="T113" s="65">
        <f t="shared" si="33"/>
        <v>4.2081206341160868</v>
      </c>
      <c r="U113" s="65">
        <f t="shared" si="33"/>
        <v>4.1347587428828199</v>
      </c>
      <c r="V113" s="65">
        <f t="shared" si="33"/>
        <v>3.5339742135051004</v>
      </c>
      <c r="W113" s="65">
        <f t="shared" si="33"/>
        <v>4.9271504323810742</v>
      </c>
      <c r="Y113" s="143"/>
      <c r="Z113" t="s">
        <v>144</v>
      </c>
      <c r="AA113" s="36">
        <f t="shared" ref="AA113:AA124" si="34">C113^10</f>
        <v>0</v>
      </c>
      <c r="AB113" s="36">
        <f t="shared" ref="AB113:AB124" si="35">D113^10</f>
        <v>4647776.7727150563</v>
      </c>
      <c r="AC113" s="36">
        <f t="shared" ref="AC113:AC124" si="36">E113^10</f>
        <v>1560988.3923093497</v>
      </c>
      <c r="AD113" s="36">
        <f t="shared" ref="AD113:AD124" si="37">F113^10</f>
        <v>1669346.080951246</v>
      </c>
      <c r="AE113" s="36">
        <f t="shared" ref="AE113:AE124" si="38">G113^10</f>
        <v>792106.40265101253</v>
      </c>
      <c r="AF113" s="36">
        <f t="shared" ref="AF113:AF124" si="39">H113^10</f>
        <v>2249506.0999160167</v>
      </c>
      <c r="AG113" s="36">
        <f t="shared" ref="AG113:AG124" si="40">I113^10</f>
        <v>3978644.2361473609</v>
      </c>
      <c r="AH113" s="36">
        <f t="shared" ref="AH113:AH124" si="41">J113^10</f>
        <v>15636629.240016513</v>
      </c>
      <c r="AI113" s="36">
        <f t="shared" ref="AI113:AI124" si="42">K113^10</f>
        <v>1964965.5120057028</v>
      </c>
      <c r="AJ113" s="36">
        <f t="shared" ref="AJ113:AJ124" si="43">L113^10</f>
        <v>79327078.259843379</v>
      </c>
      <c r="AK113" s="36">
        <f t="shared" ref="AK113:AK124" si="44">M113^10</f>
        <v>514318982.47518164</v>
      </c>
      <c r="AL113" s="36">
        <f t="shared" ref="AL113:AL124" si="45">N113^10</f>
        <v>191557543.63576502</v>
      </c>
      <c r="AM113" s="36">
        <f t="shared" ref="AM113:AM124" si="46">O113^10</f>
        <v>514318982.47518164</v>
      </c>
      <c r="AN113" s="36">
        <f t="shared" ref="AN113:AN124" si="47">P113^10</f>
        <v>9249200.2072017379</v>
      </c>
      <c r="AO113" s="36">
        <f t="shared" ref="AO113:AO124" si="48">Q113^10</f>
        <v>4489204.0941547602</v>
      </c>
      <c r="AP113" s="36">
        <f t="shared" ref="AP113:AP124" si="49">R113^10</f>
        <v>204980547.88915685</v>
      </c>
      <c r="AQ113" s="36">
        <f t="shared" ref="AQ113:AQ124" si="50">S113^10</f>
        <v>18692269.259431407</v>
      </c>
      <c r="AR113" s="36">
        <f t="shared" ref="AR113:AR124" si="51">T113^10</f>
        <v>1741332.9276152202</v>
      </c>
      <c r="AS113" s="36">
        <f t="shared" ref="AS113:AS124" si="52">U113^10</f>
        <v>1460500.6070043477</v>
      </c>
      <c r="AT113" s="36">
        <f t="shared" ref="AT113:AT124" si="53">V113^10</f>
        <v>303832.17493981094</v>
      </c>
      <c r="AU113" s="36">
        <f t="shared" ref="AU113:AU124" si="54">W113^10</f>
        <v>8432536.3231523894</v>
      </c>
    </row>
    <row r="114" spans="1:47" ht="14.7" thickBot="1" x14ac:dyDescent="0.6">
      <c r="A114" s="72"/>
      <c r="B114" s="3" t="s">
        <v>32</v>
      </c>
      <c r="C114" s="65">
        <f t="shared" ref="C114:W114" si="55">IF($AD4&gt;C$49,0,LOG10(MAX($AB4/C$47,$AE4/C$48)))</f>
        <v>0</v>
      </c>
      <c r="D114" s="65">
        <f t="shared" si="55"/>
        <v>4.8860435367184483</v>
      </c>
      <c r="E114" s="65">
        <f t="shared" si="55"/>
        <v>4.4061994236633124</v>
      </c>
      <c r="F114" s="65">
        <f t="shared" si="55"/>
        <v>4.4342281472635561</v>
      </c>
      <c r="G114" s="65">
        <f t="shared" si="55"/>
        <v>4.1331981515995748</v>
      </c>
      <c r="H114" s="65">
        <f t="shared" si="55"/>
        <v>4.5611013836490564</v>
      </c>
      <c r="I114" s="65">
        <f t="shared" si="55"/>
        <v>4.8144393889751624</v>
      </c>
      <c r="J114" s="65">
        <f t="shared" si="55"/>
        <v>5.4848381406186437</v>
      </c>
      <c r="K114" s="65">
        <f t="shared" si="55"/>
        <v>0</v>
      </c>
      <c r="L114" s="65">
        <f t="shared" si="55"/>
        <v>4.7974060496763817</v>
      </c>
      <c r="M114" s="65">
        <f t="shared" si="55"/>
        <v>0</v>
      </c>
      <c r="N114" s="65">
        <f t="shared" si="55"/>
        <v>0</v>
      </c>
      <c r="O114" s="65">
        <f t="shared" si="55"/>
        <v>0</v>
      </c>
      <c r="P114" s="65">
        <f t="shared" si="55"/>
        <v>4.385010124593375</v>
      </c>
      <c r="Q114" s="65">
        <f t="shared" si="55"/>
        <v>4.2020794410073883</v>
      </c>
      <c r="R114" s="65">
        <f t="shared" si="55"/>
        <v>0</v>
      </c>
      <c r="S114" s="65">
        <f t="shared" si="55"/>
        <v>5.4164993803031249</v>
      </c>
      <c r="T114" s="65">
        <f t="shared" si="55"/>
        <v>4.4519569142239881</v>
      </c>
      <c r="U114" s="65">
        <f t="shared" si="55"/>
        <v>4.3785950229907211</v>
      </c>
      <c r="V114" s="65">
        <f t="shared" si="55"/>
        <v>3.7778104936130013</v>
      </c>
      <c r="W114" s="65">
        <f t="shared" si="55"/>
        <v>0</v>
      </c>
      <c r="Y114" s="143"/>
      <c r="Z114" t="s">
        <v>143</v>
      </c>
      <c r="AA114" s="36">
        <f t="shared" si="34"/>
        <v>0</v>
      </c>
      <c r="AB114" s="36">
        <f t="shared" si="35"/>
        <v>7754848.6114490908</v>
      </c>
      <c r="AC114" s="36">
        <f t="shared" si="36"/>
        <v>2758299.9615384443</v>
      </c>
      <c r="AD114" s="36">
        <f t="shared" si="37"/>
        <v>2938869.7870104732</v>
      </c>
      <c r="AE114" s="36">
        <f t="shared" si="38"/>
        <v>1454997.5598377332</v>
      </c>
      <c r="AF114" s="36">
        <f t="shared" si="39"/>
        <v>3896702.5701821405</v>
      </c>
      <c r="AG114" s="36">
        <f t="shared" si="40"/>
        <v>6690479.3651564987</v>
      </c>
      <c r="AH114" s="36">
        <f t="shared" si="41"/>
        <v>24639855.651923407</v>
      </c>
      <c r="AI114" s="36">
        <f t="shared" si="42"/>
        <v>0</v>
      </c>
      <c r="AJ114" s="36">
        <f t="shared" si="43"/>
        <v>6457505.4972133012</v>
      </c>
      <c r="AK114" s="36">
        <f t="shared" si="44"/>
        <v>0</v>
      </c>
      <c r="AL114" s="36">
        <f t="shared" si="45"/>
        <v>0</v>
      </c>
      <c r="AM114" s="36">
        <f t="shared" si="46"/>
        <v>0</v>
      </c>
      <c r="AN114" s="36">
        <f t="shared" si="47"/>
        <v>2628488.0354255717</v>
      </c>
      <c r="AO114" s="36">
        <f t="shared" si="48"/>
        <v>1716495.1694162213</v>
      </c>
      <c r="AP114" s="36">
        <f t="shared" si="49"/>
        <v>0</v>
      </c>
      <c r="AQ114" s="36">
        <f t="shared" si="50"/>
        <v>21736367.990453992</v>
      </c>
      <c r="AR114" s="36">
        <f t="shared" si="51"/>
        <v>3058507.3328460301</v>
      </c>
      <c r="AS114" s="36">
        <f t="shared" si="52"/>
        <v>2590286.4324396751</v>
      </c>
      <c r="AT114" s="36">
        <f t="shared" si="53"/>
        <v>592109.03234411858</v>
      </c>
      <c r="AU114" s="36">
        <f t="shared" si="54"/>
        <v>0</v>
      </c>
    </row>
    <row r="115" spans="1:47" ht="14.7" thickBot="1" x14ac:dyDescent="0.6">
      <c r="A115" s="72"/>
      <c r="B115" s="3" t="s">
        <v>33</v>
      </c>
      <c r="C115" s="65">
        <f t="shared" ref="C115:W115" si="56">IF($AD5&gt;C$49,0,LOG10(MAX($AB5/C$47,$AE5/C$48)))</f>
        <v>0</v>
      </c>
      <c r="D115" s="65">
        <f t="shared" si="56"/>
        <v>3.0151382330979062</v>
      </c>
      <c r="E115" s="65">
        <f t="shared" si="56"/>
        <v>2.5352941200427703</v>
      </c>
      <c r="F115" s="65">
        <f t="shared" si="56"/>
        <v>2.563322843643014</v>
      </c>
      <c r="G115" s="65">
        <f t="shared" si="56"/>
        <v>2.2622928479790327</v>
      </c>
      <c r="H115" s="65">
        <f t="shared" si="56"/>
        <v>2.6901960800285138</v>
      </c>
      <c r="I115" s="65">
        <f t="shared" si="56"/>
        <v>2.9435340853546199</v>
      </c>
      <c r="J115" s="65">
        <f t="shared" si="56"/>
        <v>3.6139328369981012</v>
      </c>
      <c r="K115" s="65">
        <f t="shared" si="56"/>
        <v>0</v>
      </c>
      <c r="L115" s="65">
        <f t="shared" si="56"/>
        <v>2.9265007460558397</v>
      </c>
      <c r="M115" s="65">
        <f t="shared" si="56"/>
        <v>0</v>
      </c>
      <c r="N115" s="65">
        <f t="shared" si="56"/>
        <v>0</v>
      </c>
      <c r="O115" s="65">
        <f t="shared" si="56"/>
        <v>0</v>
      </c>
      <c r="P115" s="65">
        <f t="shared" si="56"/>
        <v>2.5141048209728325</v>
      </c>
      <c r="Q115" s="65">
        <f t="shared" si="56"/>
        <v>2.3311741373868458</v>
      </c>
      <c r="R115" s="65">
        <f t="shared" si="56"/>
        <v>0</v>
      </c>
      <c r="S115" s="65">
        <f t="shared" si="56"/>
        <v>3.5455940766825824</v>
      </c>
      <c r="T115" s="65">
        <f t="shared" si="56"/>
        <v>2.5810516106034456</v>
      </c>
      <c r="U115" s="65">
        <f t="shared" si="56"/>
        <v>2.5076897193701786</v>
      </c>
      <c r="V115" s="65">
        <f t="shared" si="56"/>
        <v>1.9069051899924589</v>
      </c>
      <c r="W115" s="65">
        <f t="shared" si="56"/>
        <v>0</v>
      </c>
      <c r="Y115" s="143"/>
      <c r="Z115" t="s">
        <v>178</v>
      </c>
      <c r="AA115" s="36">
        <f t="shared" si="34"/>
        <v>0</v>
      </c>
      <c r="AB115" s="36">
        <f t="shared" si="35"/>
        <v>62097.237103917163</v>
      </c>
      <c r="AC115" s="36">
        <f t="shared" si="36"/>
        <v>10971.941716087749</v>
      </c>
      <c r="AD115" s="36">
        <f t="shared" si="37"/>
        <v>12247.094771578393</v>
      </c>
      <c r="AE115" s="36">
        <f t="shared" si="38"/>
        <v>3511.464040175691</v>
      </c>
      <c r="AF115" s="36">
        <f t="shared" si="39"/>
        <v>19853.604005234141</v>
      </c>
      <c r="AG115" s="36">
        <f t="shared" si="40"/>
        <v>48830.446106098039</v>
      </c>
      <c r="AH115" s="36">
        <f t="shared" si="41"/>
        <v>380015.02819229406</v>
      </c>
      <c r="AI115" s="36">
        <f t="shared" si="42"/>
        <v>0</v>
      </c>
      <c r="AJ115" s="36">
        <f t="shared" si="43"/>
        <v>46077.2330450726</v>
      </c>
      <c r="AK115" s="36">
        <f t="shared" si="44"/>
        <v>0</v>
      </c>
      <c r="AL115" s="36">
        <f t="shared" si="45"/>
        <v>0</v>
      </c>
      <c r="AM115" s="36">
        <f t="shared" si="46"/>
        <v>0</v>
      </c>
      <c r="AN115" s="36">
        <f t="shared" si="47"/>
        <v>10088.667487749712</v>
      </c>
      <c r="AO115" s="36">
        <f t="shared" si="48"/>
        <v>4739.6597185183018</v>
      </c>
      <c r="AP115" s="36">
        <f t="shared" si="49"/>
        <v>0</v>
      </c>
      <c r="AQ115" s="36">
        <f t="shared" si="50"/>
        <v>313971.43053274206</v>
      </c>
      <c r="AR115" s="36">
        <f t="shared" si="51"/>
        <v>13120.998554763453</v>
      </c>
      <c r="AS115" s="36">
        <f t="shared" si="52"/>
        <v>9834.1764196489476</v>
      </c>
      <c r="AT115" s="36">
        <f t="shared" si="53"/>
        <v>635.75679058030391</v>
      </c>
      <c r="AU115" s="36">
        <f t="shared" si="54"/>
        <v>0</v>
      </c>
    </row>
    <row r="116" spans="1:47" ht="14.7" thickBot="1" x14ac:dyDescent="0.6">
      <c r="A116" s="72"/>
      <c r="B116" s="3" t="s">
        <v>34</v>
      </c>
      <c r="C116" s="65">
        <f t="shared" ref="C116:W116" si="57">IF($AD6&gt;C$49,0,LOG10(MAX($AB6/C$47,$AE6/C$48)))</f>
        <v>0</v>
      </c>
      <c r="D116" s="65">
        <f t="shared" si="57"/>
        <v>0.73991550104021053</v>
      </c>
      <c r="E116" s="65">
        <f t="shared" si="57"/>
        <v>0.26007138798507479</v>
      </c>
      <c r="F116" s="65">
        <f t="shared" si="57"/>
        <v>0.28810011158531834</v>
      </c>
      <c r="G116" s="65">
        <f t="shared" si="57"/>
        <v>-1.2929884078662857E-2</v>
      </c>
      <c r="H116" s="65">
        <f t="shared" si="57"/>
        <v>0.41497334797081797</v>
      </c>
      <c r="I116" s="65">
        <f t="shared" si="57"/>
        <v>0.66831135329692437</v>
      </c>
      <c r="J116" s="65">
        <f t="shared" si="57"/>
        <v>1.3387101049404055</v>
      </c>
      <c r="K116" s="65">
        <f t="shared" si="57"/>
        <v>0</v>
      </c>
      <c r="L116" s="65">
        <f t="shared" si="57"/>
        <v>0.651278013998144</v>
      </c>
      <c r="M116" s="65">
        <f t="shared" si="57"/>
        <v>0</v>
      </c>
      <c r="N116" s="65">
        <f t="shared" si="57"/>
        <v>0</v>
      </c>
      <c r="O116" s="65">
        <f t="shared" si="57"/>
        <v>0</v>
      </c>
      <c r="P116" s="65">
        <f t="shared" si="57"/>
        <v>0.23888208891513674</v>
      </c>
      <c r="Q116" s="65">
        <f t="shared" si="57"/>
        <v>5.5951405329149995E-2</v>
      </c>
      <c r="R116" s="65">
        <f t="shared" si="57"/>
        <v>0</v>
      </c>
      <c r="S116" s="65">
        <f t="shared" si="57"/>
        <v>1.2703713446248868</v>
      </c>
      <c r="T116" s="65">
        <f t="shared" si="57"/>
        <v>0.30582887854574992</v>
      </c>
      <c r="U116" s="65">
        <f t="shared" si="57"/>
        <v>0.23246698731248308</v>
      </c>
      <c r="V116" s="65">
        <f t="shared" si="57"/>
        <v>-0.36831754206523676</v>
      </c>
      <c r="W116" s="65">
        <f t="shared" si="57"/>
        <v>0</v>
      </c>
      <c r="Y116" s="143"/>
      <c r="Z116" t="s">
        <v>174</v>
      </c>
      <c r="AA116" s="36">
        <f t="shared" si="34"/>
        <v>0</v>
      </c>
      <c r="AB116" s="36">
        <f t="shared" si="35"/>
        <v>4.9183706901245745E-2</v>
      </c>
      <c r="AC116" s="36">
        <f t="shared" si="36"/>
        <v>1.4155517623698224E-6</v>
      </c>
      <c r="AD116" s="36">
        <f t="shared" si="37"/>
        <v>3.9394379552890335E-6</v>
      </c>
      <c r="AE116" s="36">
        <f t="shared" si="38"/>
        <v>1.3060094301908462E-19</v>
      </c>
      <c r="AF116" s="36">
        <f t="shared" si="39"/>
        <v>1.5142655656450547E-4</v>
      </c>
      <c r="AG116" s="36">
        <f t="shared" si="40"/>
        <v>1.777413154251313E-2</v>
      </c>
      <c r="AH116" s="36">
        <f t="shared" si="41"/>
        <v>18.486956346235996</v>
      </c>
      <c r="AI116" s="36">
        <f t="shared" si="42"/>
        <v>0</v>
      </c>
      <c r="AJ116" s="36">
        <f t="shared" si="43"/>
        <v>1.3729798831796876E-2</v>
      </c>
      <c r="AK116" s="36">
        <f t="shared" si="44"/>
        <v>0</v>
      </c>
      <c r="AL116" s="36">
        <f t="shared" si="45"/>
        <v>0</v>
      </c>
      <c r="AM116" s="36">
        <f t="shared" si="46"/>
        <v>0</v>
      </c>
      <c r="AN116" s="36">
        <f t="shared" si="47"/>
        <v>6.0511216095985678E-7</v>
      </c>
      <c r="AO116" s="36">
        <f t="shared" si="48"/>
        <v>3.0068377328799513E-13</v>
      </c>
      <c r="AP116" s="36">
        <f t="shared" si="49"/>
        <v>0</v>
      </c>
      <c r="AQ116" s="36">
        <f t="shared" si="50"/>
        <v>10.947296718177739</v>
      </c>
      <c r="AR116" s="36">
        <f t="shared" si="51"/>
        <v>7.1578883841357285E-6</v>
      </c>
      <c r="AS116" s="36">
        <f t="shared" si="52"/>
        <v>4.6090654312982773E-7</v>
      </c>
      <c r="AT116" s="36">
        <f t="shared" si="53"/>
        <v>4.5943495814099667E-5</v>
      </c>
      <c r="AU116" s="36">
        <f t="shared" si="54"/>
        <v>0</v>
      </c>
    </row>
    <row r="117" spans="1:47" ht="14.7" thickBot="1" x14ac:dyDescent="0.6">
      <c r="A117" s="72"/>
      <c r="B117" s="3" t="s">
        <v>35</v>
      </c>
      <c r="C117" s="65">
        <f t="shared" ref="C117:W117" si="58">IF($AD7&gt;C$49,0,LOG10(MAX($AB7/C$47,$AE7/C$48)))</f>
        <v>-3.1079053973095196</v>
      </c>
      <c r="D117" s="65">
        <f t="shared" si="58"/>
        <v>-2.929091279918365</v>
      </c>
      <c r="E117" s="65">
        <f t="shared" si="58"/>
        <v>-3.4089353929735009</v>
      </c>
      <c r="F117" s="65">
        <f t="shared" si="58"/>
        <v>-3.3809066693732572</v>
      </c>
      <c r="G117" s="65">
        <f t="shared" si="58"/>
        <v>-3.6819366650372385</v>
      </c>
      <c r="H117" s="65">
        <f t="shared" si="58"/>
        <v>-3.2540334329877574</v>
      </c>
      <c r="I117" s="65">
        <f t="shared" si="58"/>
        <v>-3.0006954276616513</v>
      </c>
      <c r="J117" s="65">
        <f t="shared" si="58"/>
        <v>-2.33029667601817</v>
      </c>
      <c r="K117" s="65">
        <f t="shared" si="58"/>
        <v>-3.3120253799654442</v>
      </c>
      <c r="L117" s="65">
        <f t="shared" si="58"/>
        <v>-3.0177287669604316</v>
      </c>
      <c r="M117" s="65">
        <f t="shared" si="58"/>
        <v>-1.8068754016455384</v>
      </c>
      <c r="N117" s="65">
        <f t="shared" si="58"/>
        <v>-1.8068754016455384</v>
      </c>
      <c r="O117" s="65">
        <f t="shared" si="58"/>
        <v>-1.5058454059815571</v>
      </c>
      <c r="P117" s="65">
        <f t="shared" si="58"/>
        <v>-3.4301246920434387</v>
      </c>
      <c r="Q117" s="65">
        <f t="shared" si="58"/>
        <v>-3.6130553756294255</v>
      </c>
      <c r="R117" s="65">
        <f t="shared" si="58"/>
        <v>-2.4600879154208819</v>
      </c>
      <c r="S117" s="65">
        <f t="shared" si="58"/>
        <v>-2.3986354363336888</v>
      </c>
      <c r="T117" s="65">
        <f t="shared" si="58"/>
        <v>-3.3631779024128257</v>
      </c>
      <c r="U117" s="65">
        <f t="shared" si="58"/>
        <v>-3.4365397936460926</v>
      </c>
      <c r="V117" s="65">
        <f t="shared" si="58"/>
        <v>-4.0373243230238121</v>
      </c>
      <c r="W117" s="65">
        <f t="shared" si="58"/>
        <v>-3.2321650180923327</v>
      </c>
      <c r="Y117" s="143"/>
      <c r="Z117" t="s">
        <v>145</v>
      </c>
      <c r="AA117" s="36">
        <f t="shared" si="34"/>
        <v>84077.135477634554</v>
      </c>
      <c r="AB117" s="36">
        <f t="shared" si="35"/>
        <v>46486.736555384174</v>
      </c>
      <c r="AC117" s="36">
        <f t="shared" si="36"/>
        <v>211927.69004190361</v>
      </c>
      <c r="AD117" s="36">
        <f t="shared" si="37"/>
        <v>195133.49420735126</v>
      </c>
      <c r="AE117" s="36">
        <f t="shared" si="38"/>
        <v>457892.08553805359</v>
      </c>
      <c r="AF117" s="36">
        <f t="shared" si="39"/>
        <v>133112.88834218495</v>
      </c>
      <c r="AG117" s="36">
        <f t="shared" si="40"/>
        <v>59186.023901221561</v>
      </c>
      <c r="AH117" s="36">
        <f t="shared" si="41"/>
        <v>4721.8496761349033</v>
      </c>
      <c r="AI117" s="36">
        <f t="shared" si="42"/>
        <v>158831.47211279321</v>
      </c>
      <c r="AJ117" s="36">
        <f t="shared" si="43"/>
        <v>62632.82904377368</v>
      </c>
      <c r="AK117" s="36">
        <f t="shared" si="44"/>
        <v>370.92154111141758</v>
      </c>
      <c r="AL117" s="36">
        <f t="shared" si="45"/>
        <v>370.92154111141758</v>
      </c>
      <c r="AM117" s="36">
        <f t="shared" si="46"/>
        <v>59.952028676730187</v>
      </c>
      <c r="AN117" s="36">
        <f t="shared" si="47"/>
        <v>225475.35439990857</v>
      </c>
      <c r="AO117" s="36">
        <f t="shared" si="48"/>
        <v>379093.36076691427</v>
      </c>
      <c r="AP117" s="36">
        <f t="shared" si="49"/>
        <v>8119.0698233274807</v>
      </c>
      <c r="AQ117" s="36">
        <f t="shared" si="50"/>
        <v>6304.3810447955575</v>
      </c>
      <c r="AR117" s="36">
        <f t="shared" si="51"/>
        <v>185139.21095623486</v>
      </c>
      <c r="AS117" s="36">
        <f t="shared" si="52"/>
        <v>229727.91563678841</v>
      </c>
      <c r="AT117" s="36">
        <f t="shared" si="53"/>
        <v>1150631.8252954339</v>
      </c>
      <c r="AU117" s="36">
        <f t="shared" si="54"/>
        <v>124432.90940222157</v>
      </c>
    </row>
    <row r="118" spans="1:47" ht="14.7" thickBot="1" x14ac:dyDescent="0.6">
      <c r="A118" s="72"/>
      <c r="B118" s="3" t="s">
        <v>36</v>
      </c>
      <c r="C118" s="65">
        <f t="shared" ref="C118:W118" si="59">IF($AD8&gt;C$49,0,LOG10(MAX($AB8/C$47,$AE8/C$48)))</f>
        <v>0</v>
      </c>
      <c r="D118" s="65">
        <f t="shared" si="59"/>
        <v>4.585013541054467</v>
      </c>
      <c r="E118" s="65">
        <f t="shared" si="59"/>
        <v>4.105169427999332</v>
      </c>
      <c r="F118" s="65">
        <f t="shared" si="59"/>
        <v>4.1331981515995748</v>
      </c>
      <c r="G118" s="65">
        <f t="shared" si="59"/>
        <v>3.832168155935594</v>
      </c>
      <c r="H118" s="65">
        <f t="shared" si="59"/>
        <v>4.2600713879850751</v>
      </c>
      <c r="I118" s="65">
        <f t="shared" si="59"/>
        <v>4.5134093933111812</v>
      </c>
      <c r="J118" s="65">
        <f t="shared" si="59"/>
        <v>5.1838081449546625</v>
      </c>
      <c r="K118" s="65">
        <f t="shared" si="59"/>
        <v>0</v>
      </c>
      <c r="L118" s="65">
        <f t="shared" si="59"/>
        <v>4.4963760540124005</v>
      </c>
      <c r="M118" s="65">
        <f t="shared" si="59"/>
        <v>0</v>
      </c>
      <c r="N118" s="65">
        <f t="shared" si="59"/>
        <v>0</v>
      </c>
      <c r="O118" s="65">
        <f t="shared" si="59"/>
        <v>0</v>
      </c>
      <c r="P118" s="65">
        <f t="shared" si="59"/>
        <v>4.0839801289293938</v>
      </c>
      <c r="Q118" s="65">
        <f t="shared" si="59"/>
        <v>3.901049445343407</v>
      </c>
      <c r="R118" s="65">
        <f t="shared" si="59"/>
        <v>0</v>
      </c>
      <c r="S118" s="65">
        <f t="shared" si="59"/>
        <v>5.1154693846391437</v>
      </c>
      <c r="T118" s="65">
        <f t="shared" si="59"/>
        <v>4.1509269185600068</v>
      </c>
      <c r="U118" s="65">
        <f t="shared" si="59"/>
        <v>4.0775650273267399</v>
      </c>
      <c r="V118" s="65">
        <f t="shared" si="59"/>
        <v>3.47678049794902</v>
      </c>
      <c r="W118" s="65">
        <f t="shared" si="59"/>
        <v>0</v>
      </c>
      <c r="Y118" s="143"/>
      <c r="Z118" t="s">
        <v>146</v>
      </c>
      <c r="AA118" s="36">
        <f t="shared" si="34"/>
        <v>0</v>
      </c>
      <c r="AB118" s="36">
        <f t="shared" si="35"/>
        <v>4105879.7528661843</v>
      </c>
      <c r="AC118" s="36">
        <f t="shared" si="36"/>
        <v>1359286.0494259349</v>
      </c>
      <c r="AD118" s="36">
        <f t="shared" si="37"/>
        <v>1454997.5598377332</v>
      </c>
      <c r="AE118" s="36">
        <f t="shared" si="38"/>
        <v>683039.11871345947</v>
      </c>
      <c r="AF118" s="36">
        <f t="shared" si="39"/>
        <v>1968651.1658805583</v>
      </c>
      <c r="AG118" s="36">
        <f t="shared" si="40"/>
        <v>3507900.64471607</v>
      </c>
      <c r="AH118" s="36">
        <f t="shared" si="41"/>
        <v>14011647.316803016</v>
      </c>
      <c r="AI118" s="36">
        <f t="shared" si="42"/>
        <v>0</v>
      </c>
      <c r="AJ118" s="36">
        <f t="shared" si="43"/>
        <v>3377740.3554584244</v>
      </c>
      <c r="AK118" s="36">
        <f t="shared" si="44"/>
        <v>0</v>
      </c>
      <c r="AL118" s="36">
        <f t="shared" si="45"/>
        <v>0</v>
      </c>
      <c r="AM118" s="36">
        <f t="shared" si="46"/>
        <v>0</v>
      </c>
      <c r="AN118" s="36">
        <f t="shared" si="47"/>
        <v>1290732.373975704</v>
      </c>
      <c r="AO118" s="36">
        <f t="shared" si="48"/>
        <v>816233.75295100932</v>
      </c>
      <c r="AP118" s="36">
        <f t="shared" si="49"/>
        <v>0</v>
      </c>
      <c r="AQ118" s="36">
        <f t="shared" si="50"/>
        <v>12270292.008305652</v>
      </c>
      <c r="AR118" s="36">
        <f t="shared" si="51"/>
        <v>1518626.1443910017</v>
      </c>
      <c r="AS118" s="36">
        <f t="shared" si="52"/>
        <v>1270600.3106191852</v>
      </c>
      <c r="AT118" s="36">
        <f t="shared" si="53"/>
        <v>258090.92210670223</v>
      </c>
      <c r="AU118" s="36">
        <f t="shared" si="54"/>
        <v>0</v>
      </c>
    </row>
    <row r="119" spans="1:47" ht="14.7" thickBot="1" x14ac:dyDescent="0.6">
      <c r="A119" s="72"/>
      <c r="B119" s="3" t="s">
        <v>37</v>
      </c>
      <c r="C119" s="65">
        <f t="shared" ref="C119:W119" si="60">IF($AD9&gt;C$49,0,LOG10(MAX($AB9/C$47,$AE9/C$48)))</f>
        <v>0</v>
      </c>
      <c r="D119" s="65">
        <f t="shared" si="60"/>
        <v>3.2956286160171837</v>
      </c>
      <c r="E119" s="65">
        <f t="shared" si="60"/>
        <v>2.8157845029620479</v>
      </c>
      <c r="F119" s="65">
        <f t="shared" si="60"/>
        <v>2.8438132265622915</v>
      </c>
      <c r="G119" s="65">
        <f t="shared" si="60"/>
        <v>2.5427832308983103</v>
      </c>
      <c r="H119" s="65">
        <f t="shared" si="60"/>
        <v>2.9706864629477909</v>
      </c>
      <c r="I119" s="65">
        <f t="shared" si="60"/>
        <v>3.2240244682738974</v>
      </c>
      <c r="J119" s="65">
        <f t="shared" si="60"/>
        <v>3.8944232199173787</v>
      </c>
      <c r="K119" s="65">
        <f t="shared" si="60"/>
        <v>2.9126945159701041</v>
      </c>
      <c r="L119" s="65">
        <f t="shared" si="60"/>
        <v>3.2069911289751172</v>
      </c>
      <c r="M119" s="65">
        <f t="shared" si="60"/>
        <v>4.2861723750227423</v>
      </c>
      <c r="N119" s="65">
        <f t="shared" si="60"/>
        <v>4.4178444942900104</v>
      </c>
      <c r="O119" s="65">
        <f t="shared" si="60"/>
        <v>4.7188744899539916</v>
      </c>
      <c r="P119" s="65">
        <f t="shared" si="60"/>
        <v>2.79459520389211</v>
      </c>
      <c r="Q119" s="65">
        <f t="shared" si="60"/>
        <v>2.6116645203061233</v>
      </c>
      <c r="R119" s="65">
        <f t="shared" si="60"/>
        <v>0</v>
      </c>
      <c r="S119" s="65">
        <f t="shared" si="60"/>
        <v>3.8260844596018599</v>
      </c>
      <c r="T119" s="65">
        <f t="shared" si="60"/>
        <v>2.8615419935227231</v>
      </c>
      <c r="U119" s="65">
        <f t="shared" si="60"/>
        <v>2.7881801022894561</v>
      </c>
      <c r="V119" s="65">
        <f t="shared" si="60"/>
        <v>2.1873955729117363</v>
      </c>
      <c r="W119" s="65">
        <f t="shared" si="60"/>
        <v>2.9925548778432161</v>
      </c>
      <c r="Y119" s="143"/>
      <c r="Z119" t="s">
        <v>147</v>
      </c>
      <c r="AA119" s="36">
        <f t="shared" si="34"/>
        <v>0</v>
      </c>
      <c r="AB119" s="36">
        <f t="shared" si="35"/>
        <v>151141.12548626389</v>
      </c>
      <c r="AC119" s="36">
        <f t="shared" si="36"/>
        <v>31332.434760224653</v>
      </c>
      <c r="AD119" s="36">
        <f t="shared" si="37"/>
        <v>34594.789937404348</v>
      </c>
      <c r="AE119" s="36">
        <f t="shared" si="38"/>
        <v>11300.388822691853</v>
      </c>
      <c r="AF119" s="36">
        <f t="shared" si="39"/>
        <v>53526.416861641155</v>
      </c>
      <c r="AG119" s="36">
        <f t="shared" si="40"/>
        <v>121334.21692894057</v>
      </c>
      <c r="AH119" s="36">
        <f t="shared" si="41"/>
        <v>802474.90445999894</v>
      </c>
      <c r="AI119" s="36">
        <f t="shared" si="42"/>
        <v>43949.038801833129</v>
      </c>
      <c r="AJ119" s="36">
        <f t="shared" si="43"/>
        <v>115074.09976525168</v>
      </c>
      <c r="AK119" s="36">
        <f t="shared" si="44"/>
        <v>2092648.7038893697</v>
      </c>
      <c r="AL119" s="36">
        <f t="shared" si="45"/>
        <v>2832071.7293726979</v>
      </c>
      <c r="AM119" s="36">
        <f t="shared" si="46"/>
        <v>5475001.7671945356</v>
      </c>
      <c r="AN119" s="36">
        <f t="shared" si="47"/>
        <v>29052.87354420402</v>
      </c>
      <c r="AO119" s="36">
        <f t="shared" si="48"/>
        <v>14762.97524993476</v>
      </c>
      <c r="AP119" s="36">
        <f t="shared" si="49"/>
        <v>0</v>
      </c>
      <c r="AQ119" s="36">
        <f t="shared" si="50"/>
        <v>672272.77979012241</v>
      </c>
      <c r="AR119" s="36">
        <f t="shared" si="51"/>
        <v>36813.002152791887</v>
      </c>
      <c r="AS119" s="36">
        <f t="shared" si="52"/>
        <v>28392.800801614248</v>
      </c>
      <c r="AT119" s="36">
        <f t="shared" si="53"/>
        <v>2507.6867662830987</v>
      </c>
      <c r="AU119" s="36">
        <f t="shared" si="54"/>
        <v>57599.834154863966</v>
      </c>
    </row>
    <row r="120" spans="1:47" ht="14.7" thickBot="1" x14ac:dyDescent="0.6">
      <c r="A120" s="72"/>
      <c r="B120" s="3" t="s">
        <v>38</v>
      </c>
      <c r="C120" s="65">
        <f t="shared" ref="C120:W120" si="61">IF($AD10&gt;C$49,0,LOG10(MAX($AB10/C$47,$AE10/C$48)))</f>
        <v>0</v>
      </c>
      <c r="D120" s="65">
        <f t="shared" si="61"/>
        <v>4.0470273775113883</v>
      </c>
      <c r="E120" s="65">
        <f t="shared" si="61"/>
        <v>3.567183264456252</v>
      </c>
      <c r="F120" s="65">
        <f t="shared" si="61"/>
        <v>3.5952119880564957</v>
      </c>
      <c r="G120" s="65">
        <f t="shared" si="61"/>
        <v>3.2941819923925144</v>
      </c>
      <c r="H120" s="65">
        <f t="shared" si="61"/>
        <v>3.7220852244419955</v>
      </c>
      <c r="I120" s="65">
        <f t="shared" si="61"/>
        <v>3.9754232297681016</v>
      </c>
      <c r="J120" s="65">
        <f t="shared" si="61"/>
        <v>4.6458219814115829</v>
      </c>
      <c r="K120" s="65">
        <f t="shared" si="61"/>
        <v>3.6640932774643087</v>
      </c>
      <c r="L120" s="65">
        <f t="shared" si="61"/>
        <v>3.9583898904693213</v>
      </c>
      <c r="M120" s="65">
        <f t="shared" si="61"/>
        <v>4.9853965320317712</v>
      </c>
      <c r="N120" s="65">
        <f t="shared" si="61"/>
        <v>5.169243255784215</v>
      </c>
      <c r="O120" s="65">
        <f t="shared" si="61"/>
        <v>5.4702732514481953</v>
      </c>
      <c r="P120" s="65">
        <f t="shared" si="61"/>
        <v>3.5459939653863142</v>
      </c>
      <c r="Q120" s="65">
        <f t="shared" si="61"/>
        <v>3.3630632818003274</v>
      </c>
      <c r="R120" s="65">
        <f t="shared" si="61"/>
        <v>0</v>
      </c>
      <c r="S120" s="65">
        <f t="shared" si="61"/>
        <v>4.5774832210960641</v>
      </c>
      <c r="T120" s="65">
        <f t="shared" si="61"/>
        <v>3.6129407550169272</v>
      </c>
      <c r="U120" s="65">
        <f t="shared" si="61"/>
        <v>3.5395788637836603</v>
      </c>
      <c r="V120" s="65">
        <f t="shared" si="61"/>
        <v>2.9387943344059408</v>
      </c>
      <c r="W120" s="65">
        <f t="shared" si="61"/>
        <v>3.7439536393374202</v>
      </c>
      <c r="Y120" s="143"/>
      <c r="Z120" t="s">
        <v>148</v>
      </c>
      <c r="AA120" s="36">
        <f t="shared" si="34"/>
        <v>0</v>
      </c>
      <c r="AB120" s="36">
        <f t="shared" si="35"/>
        <v>1178586.3945869261</v>
      </c>
      <c r="AC120" s="36">
        <f t="shared" si="36"/>
        <v>333621.64422462072</v>
      </c>
      <c r="AD120" s="36">
        <f t="shared" si="37"/>
        <v>360782.1415201074</v>
      </c>
      <c r="AE120" s="36">
        <f t="shared" si="38"/>
        <v>150478.99704742784</v>
      </c>
      <c r="AF120" s="36">
        <f t="shared" si="39"/>
        <v>510344.13642099896</v>
      </c>
      <c r="AG120" s="36">
        <f t="shared" si="40"/>
        <v>985901.91737802478</v>
      </c>
      <c r="AH120" s="36">
        <f t="shared" si="41"/>
        <v>4684094.4639435736</v>
      </c>
      <c r="AI120" s="36">
        <f t="shared" si="42"/>
        <v>436179.45998308621</v>
      </c>
      <c r="AJ120" s="36">
        <f t="shared" si="43"/>
        <v>944464.60719473066</v>
      </c>
      <c r="AK120" s="36">
        <f t="shared" si="44"/>
        <v>9484120.7012648731</v>
      </c>
      <c r="AL120" s="36">
        <f t="shared" si="45"/>
        <v>13622904.059450842</v>
      </c>
      <c r="AM120" s="36">
        <f t="shared" si="46"/>
        <v>23993312.351750903</v>
      </c>
      <c r="AN120" s="36">
        <f t="shared" si="47"/>
        <v>314325.72199190053</v>
      </c>
      <c r="AO120" s="36">
        <f t="shared" si="48"/>
        <v>185076.12325718423</v>
      </c>
      <c r="AP120" s="36">
        <f t="shared" si="49"/>
        <v>0</v>
      </c>
      <c r="AQ120" s="36">
        <f t="shared" si="50"/>
        <v>4038941.9433580684</v>
      </c>
      <c r="AR120" s="36">
        <f t="shared" si="51"/>
        <v>378973.11431037693</v>
      </c>
      <c r="AS120" s="36">
        <f t="shared" si="52"/>
        <v>308685.28766813705</v>
      </c>
      <c r="AT120" s="36">
        <f t="shared" si="53"/>
        <v>48049.839255044521</v>
      </c>
      <c r="AU120" s="36">
        <f t="shared" si="54"/>
        <v>541133.75227332721</v>
      </c>
    </row>
    <row r="121" spans="1:47" ht="14.7" thickBot="1" x14ac:dyDescent="0.6">
      <c r="A121" s="72"/>
      <c r="B121" s="3" t="s">
        <v>39</v>
      </c>
      <c r="C121" s="65">
        <f t="shared" ref="C121:W121" si="62">IF($AD11&gt;C$49,0,LOG10(MAX($AB11/C$47,$AE11/C$48)))</f>
        <v>0</v>
      </c>
      <c r="D121" s="65">
        <f t="shared" si="62"/>
        <v>0.73991550104021053</v>
      </c>
      <c r="E121" s="65">
        <f t="shared" si="62"/>
        <v>0.26007138798507479</v>
      </c>
      <c r="F121" s="65">
        <f t="shared" si="62"/>
        <v>0.28810011158531834</v>
      </c>
      <c r="G121" s="65">
        <f t="shared" si="62"/>
        <v>-1.2929884078662857E-2</v>
      </c>
      <c r="H121" s="65">
        <f t="shared" si="62"/>
        <v>0.41497334797081797</v>
      </c>
      <c r="I121" s="65">
        <f t="shared" si="62"/>
        <v>0.66831135329692437</v>
      </c>
      <c r="J121" s="65">
        <f t="shared" si="62"/>
        <v>1.3387101049404055</v>
      </c>
      <c r="K121" s="65">
        <f t="shared" si="62"/>
        <v>0</v>
      </c>
      <c r="L121" s="65">
        <f t="shared" si="62"/>
        <v>0.651278013998144</v>
      </c>
      <c r="M121" s="65">
        <f t="shared" si="62"/>
        <v>0</v>
      </c>
      <c r="N121" s="65">
        <f t="shared" si="62"/>
        <v>0</v>
      </c>
      <c r="O121" s="65">
        <f t="shared" si="62"/>
        <v>0</v>
      </c>
      <c r="P121" s="65">
        <f t="shared" si="62"/>
        <v>0.23888208891513674</v>
      </c>
      <c r="Q121" s="65">
        <f t="shared" si="62"/>
        <v>5.5951405329149995E-2</v>
      </c>
      <c r="R121" s="65">
        <f t="shared" si="62"/>
        <v>0</v>
      </c>
      <c r="S121" s="65">
        <f t="shared" si="62"/>
        <v>1.2703713446248868</v>
      </c>
      <c r="T121" s="65">
        <f t="shared" si="62"/>
        <v>0.30582887854574992</v>
      </c>
      <c r="U121" s="65">
        <f t="shared" si="62"/>
        <v>0.23246698731248308</v>
      </c>
      <c r="V121" s="65">
        <f t="shared" si="62"/>
        <v>-0.36831754206523676</v>
      </c>
      <c r="W121" s="65">
        <f t="shared" si="62"/>
        <v>0</v>
      </c>
      <c r="Y121" s="143"/>
      <c r="Z121" t="s">
        <v>149</v>
      </c>
      <c r="AA121" s="36">
        <f t="shared" si="34"/>
        <v>0</v>
      </c>
      <c r="AB121" s="36">
        <f t="shared" si="35"/>
        <v>4.9183706901245745E-2</v>
      </c>
      <c r="AC121" s="36">
        <f t="shared" si="36"/>
        <v>1.4155517623698224E-6</v>
      </c>
      <c r="AD121" s="36">
        <f t="shared" si="37"/>
        <v>3.9394379552890335E-6</v>
      </c>
      <c r="AE121" s="36">
        <f t="shared" si="38"/>
        <v>1.3060094301908462E-19</v>
      </c>
      <c r="AF121" s="36">
        <f t="shared" si="39"/>
        <v>1.5142655656450547E-4</v>
      </c>
      <c r="AG121" s="36">
        <f t="shared" si="40"/>
        <v>1.777413154251313E-2</v>
      </c>
      <c r="AH121" s="36">
        <f t="shared" si="41"/>
        <v>18.486956346235996</v>
      </c>
      <c r="AI121" s="36">
        <f t="shared" si="42"/>
        <v>0</v>
      </c>
      <c r="AJ121" s="36">
        <f t="shared" si="43"/>
        <v>1.3729798831796876E-2</v>
      </c>
      <c r="AK121" s="36">
        <f t="shared" si="44"/>
        <v>0</v>
      </c>
      <c r="AL121" s="36">
        <f t="shared" si="45"/>
        <v>0</v>
      </c>
      <c r="AM121" s="36">
        <f t="shared" si="46"/>
        <v>0</v>
      </c>
      <c r="AN121" s="36">
        <f t="shared" si="47"/>
        <v>6.0511216095985678E-7</v>
      </c>
      <c r="AO121" s="36">
        <f t="shared" si="48"/>
        <v>3.0068377328799513E-13</v>
      </c>
      <c r="AP121" s="36">
        <f t="shared" si="49"/>
        <v>0</v>
      </c>
      <c r="AQ121" s="36">
        <f t="shared" si="50"/>
        <v>10.947296718177739</v>
      </c>
      <c r="AR121" s="36">
        <f t="shared" si="51"/>
        <v>7.1578883841357285E-6</v>
      </c>
      <c r="AS121" s="36">
        <f t="shared" si="52"/>
        <v>4.6090654312982773E-7</v>
      </c>
      <c r="AT121" s="36">
        <f t="shared" si="53"/>
        <v>4.5943495814099667E-5</v>
      </c>
      <c r="AU121" s="36">
        <f t="shared" si="54"/>
        <v>0</v>
      </c>
    </row>
    <row r="122" spans="1:47" ht="14.7" thickBot="1" x14ac:dyDescent="0.6">
      <c r="A122" s="72"/>
      <c r="B122" s="3" t="s">
        <v>40</v>
      </c>
      <c r="C122" s="65">
        <f t="shared" ref="C122:W122" si="63">IF($AD12&gt;C$49,0,LOG10(MAX($AB12/C$47,$AE12/C$48)))</f>
        <v>-3.087715119133128</v>
      </c>
      <c r="D122" s="65">
        <f t="shared" si="63"/>
        <v>-2.929091279918365</v>
      </c>
      <c r="E122" s="65">
        <f t="shared" si="63"/>
        <v>-3.4089353929735009</v>
      </c>
      <c r="F122" s="65">
        <f t="shared" si="63"/>
        <v>-3.3809066693732572</v>
      </c>
      <c r="G122" s="65">
        <f t="shared" si="63"/>
        <v>-3.6819366650372385</v>
      </c>
      <c r="H122" s="65">
        <f t="shared" si="63"/>
        <v>-3.2540334329877574</v>
      </c>
      <c r="I122" s="65">
        <f t="shared" si="63"/>
        <v>-3.0006954276616513</v>
      </c>
      <c r="J122" s="65">
        <f t="shared" si="63"/>
        <v>-2.33029667601817</v>
      </c>
      <c r="K122" s="65">
        <f t="shared" si="63"/>
        <v>-3.3120253799654442</v>
      </c>
      <c r="L122" s="65">
        <f t="shared" si="63"/>
        <v>-1.6066988205299413</v>
      </c>
      <c r="M122" s="65">
        <f t="shared" si="63"/>
        <v>-0.33952709212692755</v>
      </c>
      <c r="N122" s="65">
        <f t="shared" si="63"/>
        <v>-1.0384970964629463</v>
      </c>
      <c r="O122" s="65">
        <f t="shared" si="63"/>
        <v>-0.33952709212692755</v>
      </c>
      <c r="P122" s="65">
        <f t="shared" si="63"/>
        <v>-2.7989195798861584</v>
      </c>
      <c r="Q122" s="65">
        <f t="shared" si="63"/>
        <v>-3.1457070661108149</v>
      </c>
      <c r="R122" s="65">
        <f t="shared" si="63"/>
        <v>-0.99273960590227117</v>
      </c>
      <c r="S122" s="65">
        <f t="shared" si="63"/>
        <v>-2.3986354363336888</v>
      </c>
      <c r="T122" s="65">
        <f t="shared" si="63"/>
        <v>-3.3631779024128257</v>
      </c>
      <c r="U122" s="65">
        <f t="shared" si="63"/>
        <v>-3.4365397936460926</v>
      </c>
      <c r="V122" s="65">
        <f t="shared" si="63"/>
        <v>-4.0373243230238121</v>
      </c>
      <c r="W122" s="65">
        <f t="shared" si="63"/>
        <v>-2.8446770704468336</v>
      </c>
      <c r="Y122" s="143"/>
      <c r="Z122" t="s">
        <v>150</v>
      </c>
      <c r="AA122" s="36">
        <f t="shared" si="34"/>
        <v>78772.067322448085</v>
      </c>
      <c r="AB122" s="36">
        <f t="shared" si="35"/>
        <v>46486.736555384174</v>
      </c>
      <c r="AC122" s="36">
        <f t="shared" si="36"/>
        <v>211927.69004190361</v>
      </c>
      <c r="AD122" s="36">
        <f t="shared" si="37"/>
        <v>195133.49420735126</v>
      </c>
      <c r="AE122" s="36">
        <f t="shared" si="38"/>
        <v>457892.08553805359</v>
      </c>
      <c r="AF122" s="36">
        <f t="shared" si="39"/>
        <v>133112.88834218495</v>
      </c>
      <c r="AG122" s="36">
        <f t="shared" si="40"/>
        <v>59186.023901221561</v>
      </c>
      <c r="AH122" s="36">
        <f t="shared" si="41"/>
        <v>4721.8496761349033</v>
      </c>
      <c r="AI122" s="36">
        <f t="shared" si="42"/>
        <v>158831.47211279321</v>
      </c>
      <c r="AJ122" s="36">
        <f t="shared" si="43"/>
        <v>114.64226258044015</v>
      </c>
      <c r="AK122" s="36">
        <f t="shared" si="44"/>
        <v>2.0358432653929966E-5</v>
      </c>
      <c r="AL122" s="36">
        <f t="shared" si="45"/>
        <v>1.4589918512300193</v>
      </c>
      <c r="AM122" s="36">
        <f t="shared" si="46"/>
        <v>2.0358432653929966E-5</v>
      </c>
      <c r="AN122" s="36">
        <f t="shared" si="47"/>
        <v>29505.583154639742</v>
      </c>
      <c r="AO122" s="36">
        <f t="shared" si="48"/>
        <v>94881.770243236693</v>
      </c>
      <c r="AP122" s="36">
        <f t="shared" si="49"/>
        <v>0.92972281066622664</v>
      </c>
      <c r="AQ122" s="36">
        <f t="shared" si="50"/>
        <v>6304.3810447955575</v>
      </c>
      <c r="AR122" s="36">
        <f t="shared" si="51"/>
        <v>185139.21095623486</v>
      </c>
      <c r="AS122" s="36">
        <f t="shared" si="52"/>
        <v>229727.91563678841</v>
      </c>
      <c r="AT122" s="36">
        <f t="shared" si="53"/>
        <v>1150631.8252954339</v>
      </c>
      <c r="AU122" s="36">
        <f t="shared" si="54"/>
        <v>34700.019706397405</v>
      </c>
    </row>
    <row r="123" spans="1:47" ht="14.7" thickBot="1" x14ac:dyDescent="0.6">
      <c r="A123" s="72"/>
      <c r="B123" t="s">
        <v>133</v>
      </c>
      <c r="C123" s="65">
        <f t="shared" ref="C123:W123" si="64">IF($AD13&gt;C$49,0,LOG10(MAX($AB13/C$47,$AE13/C$48)))</f>
        <v>0</v>
      </c>
      <c r="D123" s="65">
        <f t="shared" si="64"/>
        <v>0</v>
      </c>
      <c r="E123" s="65">
        <f t="shared" si="64"/>
        <v>0</v>
      </c>
      <c r="F123" s="65">
        <f t="shared" si="64"/>
        <v>0</v>
      </c>
      <c r="G123" s="65">
        <f t="shared" si="64"/>
        <v>5.1331981515995748</v>
      </c>
      <c r="H123" s="65">
        <f t="shared" si="64"/>
        <v>5.5611013836490564</v>
      </c>
      <c r="I123" s="65">
        <f t="shared" si="64"/>
        <v>5.8144393889751624</v>
      </c>
      <c r="J123" s="65">
        <f t="shared" si="64"/>
        <v>0</v>
      </c>
      <c r="K123" s="65">
        <f t="shared" si="64"/>
        <v>0</v>
      </c>
      <c r="L123" s="65">
        <f t="shared" si="64"/>
        <v>5.8202689326358863</v>
      </c>
      <c r="M123" s="65">
        <f t="shared" si="64"/>
        <v>0</v>
      </c>
      <c r="N123" s="65">
        <f t="shared" si="64"/>
        <v>0</v>
      </c>
      <c r="O123" s="65">
        <f t="shared" si="64"/>
        <v>0</v>
      </c>
      <c r="P123" s="65">
        <f t="shared" si="64"/>
        <v>5.385010124593375</v>
      </c>
      <c r="Q123" s="65">
        <f t="shared" si="64"/>
        <v>5.2020794410073883</v>
      </c>
      <c r="R123" s="65">
        <f t="shared" si="64"/>
        <v>0</v>
      </c>
      <c r="S123" s="65">
        <f t="shared" si="64"/>
        <v>0</v>
      </c>
      <c r="T123" s="65">
        <f t="shared" si="64"/>
        <v>0</v>
      </c>
      <c r="U123" s="65">
        <f t="shared" si="64"/>
        <v>0</v>
      </c>
      <c r="V123" s="65">
        <f t="shared" si="64"/>
        <v>4.7778104936130017</v>
      </c>
      <c r="W123" s="65">
        <f t="shared" si="64"/>
        <v>0</v>
      </c>
      <c r="Y123" s="143"/>
      <c r="Z123" t="s">
        <v>151</v>
      </c>
      <c r="AA123" s="36">
        <f t="shared" si="34"/>
        <v>0</v>
      </c>
      <c r="AB123" s="36">
        <f t="shared" si="35"/>
        <v>0</v>
      </c>
      <c r="AC123" s="36">
        <f t="shared" si="36"/>
        <v>0</v>
      </c>
      <c r="AD123" s="36">
        <f t="shared" si="37"/>
        <v>0</v>
      </c>
      <c r="AE123" s="36">
        <f t="shared" si="38"/>
        <v>12702239.354455028</v>
      </c>
      <c r="AF123" s="36">
        <f t="shared" si="39"/>
        <v>28288383.244899292</v>
      </c>
      <c r="AG123" s="36">
        <f t="shared" si="40"/>
        <v>44165024.628216006</v>
      </c>
      <c r="AH123" s="36">
        <f t="shared" si="41"/>
        <v>0</v>
      </c>
      <c r="AI123" s="36">
        <f t="shared" si="42"/>
        <v>0</v>
      </c>
      <c r="AJ123" s="36">
        <f t="shared" si="43"/>
        <v>44609825.272790812</v>
      </c>
      <c r="AK123" s="36">
        <f t="shared" si="44"/>
        <v>0</v>
      </c>
      <c r="AL123" s="36">
        <f t="shared" si="45"/>
        <v>0</v>
      </c>
      <c r="AM123" s="36">
        <f t="shared" si="46"/>
        <v>0</v>
      </c>
      <c r="AN123" s="36">
        <f t="shared" si="47"/>
        <v>20505258.174561437</v>
      </c>
      <c r="AO123" s="36">
        <f t="shared" si="48"/>
        <v>14513421.23256504</v>
      </c>
      <c r="AP123" s="36">
        <f t="shared" si="49"/>
        <v>0</v>
      </c>
      <c r="AQ123" s="36">
        <f t="shared" si="50"/>
        <v>0</v>
      </c>
      <c r="AR123" s="36">
        <f t="shared" si="51"/>
        <v>0</v>
      </c>
      <c r="AS123" s="36">
        <f t="shared" si="52"/>
        <v>0</v>
      </c>
      <c r="AT123" s="36">
        <f t="shared" si="53"/>
        <v>6198537.0242631258</v>
      </c>
      <c r="AU123" s="36">
        <f t="shared" si="54"/>
        <v>0</v>
      </c>
    </row>
    <row r="124" spans="1:47" x14ac:dyDescent="0.55000000000000004">
      <c r="A124" s="72"/>
      <c r="B124" s="8" t="s">
        <v>42</v>
      </c>
      <c r="C124" s="65">
        <f t="shared" ref="C124:W124" si="65">IF($AD14&gt;C$49,0,LOG10(MAX($AB14/C$47,$AE14/C$48)))</f>
        <v>0</v>
      </c>
      <c r="D124" s="65">
        <f t="shared" si="65"/>
        <v>4.5373029078678888</v>
      </c>
      <c r="E124" s="65">
        <f t="shared" si="65"/>
        <v>4.0574587948127538</v>
      </c>
      <c r="F124" s="65">
        <f t="shared" si="65"/>
        <v>4.0854875184129966</v>
      </c>
      <c r="G124" s="65">
        <f t="shared" si="65"/>
        <v>3.7844575227490158</v>
      </c>
      <c r="H124" s="65">
        <f t="shared" si="65"/>
        <v>4.2123607547984969</v>
      </c>
      <c r="I124" s="65">
        <f t="shared" si="65"/>
        <v>4.465698760124603</v>
      </c>
      <c r="J124" s="65">
        <f t="shared" si="65"/>
        <v>5.1360975117680843</v>
      </c>
      <c r="K124" s="65">
        <f t="shared" si="65"/>
        <v>4.1543688078208101</v>
      </c>
      <c r="L124" s="65">
        <f t="shared" si="65"/>
        <v>4.4486654208258223</v>
      </c>
      <c r="M124" s="65">
        <f t="shared" si="65"/>
        <v>5.483427527085035</v>
      </c>
      <c r="N124" s="65">
        <f t="shared" si="65"/>
        <v>5.6595187861407155</v>
      </c>
      <c r="O124" s="65">
        <f t="shared" si="65"/>
        <v>5.9605487818046967</v>
      </c>
      <c r="P124" s="65">
        <f t="shared" si="65"/>
        <v>4.0362694957428156</v>
      </c>
      <c r="Q124" s="65">
        <f t="shared" si="65"/>
        <v>3.8533388121568288</v>
      </c>
      <c r="R124" s="65">
        <f t="shared" si="65"/>
        <v>4.8813675357570725</v>
      </c>
      <c r="S124" s="65">
        <f t="shared" si="65"/>
        <v>5.0677587514525655</v>
      </c>
      <c r="T124" s="65">
        <f t="shared" si="65"/>
        <v>4.1032162853734286</v>
      </c>
      <c r="U124" s="65">
        <f t="shared" si="65"/>
        <v>4.0298543941401617</v>
      </c>
      <c r="V124" s="65">
        <f t="shared" si="65"/>
        <v>3.4290698647624418</v>
      </c>
      <c r="W124" s="65">
        <f t="shared" si="65"/>
        <v>4.234229169693922</v>
      </c>
      <c r="Y124" s="143"/>
      <c r="Z124" t="s">
        <v>152</v>
      </c>
      <c r="AA124" s="36">
        <f t="shared" si="34"/>
        <v>0</v>
      </c>
      <c r="AB124" s="36">
        <f t="shared" si="35"/>
        <v>3698092.2023519338</v>
      </c>
      <c r="AC124" s="36">
        <f t="shared" si="36"/>
        <v>1209319.847962827</v>
      </c>
      <c r="AD124" s="36">
        <f t="shared" si="37"/>
        <v>1295504.3638396875</v>
      </c>
      <c r="AE124" s="36">
        <f t="shared" si="38"/>
        <v>602610.02210585552</v>
      </c>
      <c r="AF124" s="36">
        <f t="shared" si="39"/>
        <v>1758958.444458195</v>
      </c>
      <c r="AG124" s="36">
        <f t="shared" si="40"/>
        <v>3154236.3904942656</v>
      </c>
      <c r="AH124" s="36">
        <f t="shared" si="41"/>
        <v>12774167.446932454</v>
      </c>
      <c r="AI124" s="36">
        <f t="shared" si="42"/>
        <v>1531265.4651677918</v>
      </c>
      <c r="AJ124" s="36">
        <f t="shared" si="43"/>
        <v>3035969.7620567875</v>
      </c>
      <c r="AK124" s="36">
        <f t="shared" si="44"/>
        <v>24576559.133602869</v>
      </c>
      <c r="AL124" s="36">
        <f t="shared" si="45"/>
        <v>33712818.193960451</v>
      </c>
      <c r="AM124" s="36">
        <f t="shared" si="46"/>
        <v>56605999.920851693</v>
      </c>
      <c r="AN124" s="36">
        <f t="shared" si="47"/>
        <v>1147629.1142021457</v>
      </c>
      <c r="AO124" s="36">
        <f t="shared" si="48"/>
        <v>721725.36465776316</v>
      </c>
      <c r="AP124" s="36">
        <f t="shared" si="49"/>
        <v>7680952.5965643935</v>
      </c>
      <c r="AQ124" s="36">
        <f t="shared" si="50"/>
        <v>11172730.494284702</v>
      </c>
      <c r="AR124" s="36">
        <f t="shared" si="51"/>
        <v>1352832.716145291</v>
      </c>
      <c r="AS124" s="36">
        <f t="shared" si="52"/>
        <v>1129519.0133784567</v>
      </c>
      <c r="AT124" s="36">
        <f t="shared" si="53"/>
        <v>224782.93439064923</v>
      </c>
      <c r="AU124" s="36">
        <f t="shared" si="54"/>
        <v>1852437.6400133763</v>
      </c>
    </row>
    <row r="125" spans="1:47" x14ac:dyDescent="0.55000000000000004">
      <c r="A125" s="72"/>
      <c r="B125" s="3"/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Y125" s="143"/>
    </row>
    <row r="126" spans="1:47" x14ac:dyDescent="0.55000000000000004">
      <c r="A126" s="72"/>
      <c r="B126" s="144" t="s">
        <v>139</v>
      </c>
      <c r="C126" s="144"/>
      <c r="D126" s="144"/>
      <c r="E126" s="144"/>
      <c r="F126" s="144"/>
      <c r="G126" s="144"/>
      <c r="H126" s="144"/>
      <c r="I126" s="144"/>
      <c r="J126" s="144"/>
      <c r="K126" s="144"/>
      <c r="L126" s="144"/>
      <c r="M126" s="144"/>
      <c r="N126" s="144"/>
      <c r="O126" s="144"/>
      <c r="P126" s="144"/>
      <c r="Q126" s="144"/>
      <c r="R126" s="144"/>
      <c r="S126" s="144"/>
      <c r="T126" s="144"/>
      <c r="U126" s="144"/>
      <c r="V126" s="144"/>
      <c r="W126" s="144"/>
      <c r="Y126" s="143"/>
      <c r="Z126" s="144" t="s">
        <v>139</v>
      </c>
      <c r="AA126" s="144"/>
      <c r="AB126" s="144"/>
      <c r="AC126" s="144"/>
      <c r="AD126" s="144"/>
      <c r="AE126" s="144"/>
      <c r="AF126" s="144"/>
      <c r="AG126" s="144"/>
      <c r="AH126" s="144"/>
      <c r="AI126" s="144"/>
      <c r="AJ126" s="144"/>
      <c r="AK126" s="144"/>
      <c r="AL126" s="144"/>
      <c r="AM126" s="144"/>
      <c r="AN126" s="144"/>
      <c r="AO126" s="144"/>
      <c r="AP126" s="144"/>
      <c r="AQ126" s="144"/>
      <c r="AR126" s="144"/>
      <c r="AS126" s="144"/>
      <c r="AT126" s="144"/>
      <c r="AU126" s="144"/>
    </row>
    <row r="127" spans="1:47" ht="14.7" thickBot="1" x14ac:dyDescent="0.6">
      <c r="A127" s="72"/>
      <c r="B127" s="17" t="s">
        <v>134</v>
      </c>
      <c r="C127" t="str">
        <f>'Top Level Case Parameters'!B$34</f>
        <v>Virtex-5QV</v>
      </c>
      <c r="D127" t="str">
        <f>'Top Level Case Parameters'!C$34</f>
        <v>RTG4</v>
      </c>
      <c r="E127" t="str">
        <f>'Top Level Case Parameters'!D$34</f>
        <v>Polarfire</v>
      </c>
      <c r="F127" t="str">
        <f>'Top Level Case Parameters'!E$34</f>
        <v>Kintex-7Q</v>
      </c>
      <c r="G127" t="str">
        <f>'Top Level Case Parameters'!F$34</f>
        <v>Virtex-7Q</v>
      </c>
      <c r="H127" t="str">
        <f>'Top Level Case Parameters'!G$34</f>
        <v>RT Kintex Ultrascale</v>
      </c>
      <c r="I127" t="str">
        <f>'Top Level Case Parameters'!H$34</f>
        <v>NG-Ultra</v>
      </c>
      <c r="J127" t="str">
        <f>'Top Level Case Parameters'!I$34</f>
        <v>SmartFusion2</v>
      </c>
      <c r="K127" t="str">
        <f>'Top Level Case Parameters'!J$34</f>
        <v>Tegra X1</v>
      </c>
      <c r="L127" t="str">
        <f>'Top Level Case Parameters'!K$34</f>
        <v>RAD5545</v>
      </c>
      <c r="M127" t="str">
        <f>'Top Level Case Parameters'!L$34</f>
        <v>RAD750</v>
      </c>
      <c r="N127" t="str">
        <f>'Top Level Case Parameters'!M$34</f>
        <v>GR740</v>
      </c>
      <c r="O127" t="str">
        <f>'Top Level Case Parameters'!N$34</f>
        <v>GR712RC</v>
      </c>
      <c r="P127" t="str">
        <f>'Top Level Case Parameters'!O$34</f>
        <v>LS1046-Space</v>
      </c>
      <c r="Q127" t="str">
        <f>'Top Level Case Parameters'!P$34</f>
        <v>HPSC</v>
      </c>
      <c r="R127" t="str">
        <f>'Top Level Case Parameters'!Q$34</f>
        <v>E698PM</v>
      </c>
      <c r="S127" t="str">
        <f>'Top Level Case Parameters'!R$34</f>
        <v>RC64</v>
      </c>
      <c r="T127" t="str">
        <f>'Top Level Case Parameters'!S$34</f>
        <v>TI 66AK2Hxx</v>
      </c>
      <c r="U127" t="str">
        <f>'Top Level Case Parameters'!T$34</f>
        <v>SnapDragon 855</v>
      </c>
      <c r="V127" t="str">
        <f>'Top Level Case Parameters'!U$34</f>
        <v>XQR Versal</v>
      </c>
      <c r="W127" t="str">
        <f>'Top Level Case Parameters'!V$34</f>
        <v>HISAOR</v>
      </c>
      <c r="Y127" s="143"/>
      <c r="Z127" s="17" t="s">
        <v>134</v>
      </c>
      <c r="AA127" t="s">
        <v>70</v>
      </c>
      <c r="AB127" t="s">
        <v>73</v>
      </c>
      <c r="AC127" t="s">
        <v>74</v>
      </c>
      <c r="AD127" t="s">
        <v>76</v>
      </c>
      <c r="AE127" t="s">
        <v>78</v>
      </c>
      <c r="AF127" t="s">
        <v>79</v>
      </c>
      <c r="AG127" t="s">
        <v>80</v>
      </c>
      <c r="AH127" t="s">
        <v>81</v>
      </c>
      <c r="AI127" t="s">
        <v>82</v>
      </c>
      <c r="AJ127" t="s">
        <v>84</v>
      </c>
      <c r="AK127" t="s">
        <v>86</v>
      </c>
      <c r="AL127" t="s">
        <v>88</v>
      </c>
      <c r="AM127" t="s">
        <v>89</v>
      </c>
      <c r="AN127" t="s">
        <v>90</v>
      </c>
      <c r="AO127" t="s">
        <v>91</v>
      </c>
      <c r="AP127" t="s">
        <v>92</v>
      </c>
      <c r="AQ127" t="s">
        <v>94</v>
      </c>
      <c r="AR127" t="s">
        <v>96</v>
      </c>
      <c r="AS127" t="s">
        <v>98</v>
      </c>
      <c r="AT127" t="s">
        <v>100</v>
      </c>
      <c r="AU127" t="s">
        <v>102</v>
      </c>
    </row>
    <row r="128" spans="1:47" ht="14.7" thickBot="1" x14ac:dyDescent="0.6">
      <c r="A128" s="72"/>
      <c r="B128" s="5" t="s">
        <v>31</v>
      </c>
      <c r="C128" s="65">
        <f t="shared" ref="C128:V128" si="66">IF($V3&gt;C$49,0,LOG10(MAX($T3/C$47,$W3/C$48)))</f>
        <v>0</v>
      </c>
      <c r="D128" s="65">
        <f t="shared" si="66"/>
        <v>5.8141425558950708</v>
      </c>
      <c r="E128" s="65">
        <f t="shared" si="66"/>
        <v>5.3342984428399349</v>
      </c>
      <c r="F128" s="65">
        <f t="shared" si="66"/>
        <v>5.3623271664401786</v>
      </c>
      <c r="G128" s="65">
        <f t="shared" si="66"/>
        <v>5.0612971707761973</v>
      </c>
      <c r="H128" s="65">
        <f t="shared" si="66"/>
        <v>5.4892004028256789</v>
      </c>
      <c r="I128" s="65">
        <f t="shared" si="66"/>
        <v>5.8018545799773591</v>
      </c>
      <c r="J128" s="65">
        <f t="shared" si="66"/>
        <v>6.4129371597952662</v>
      </c>
      <c r="K128" s="65">
        <f t="shared" si="66"/>
        <v>5.4312084558479921</v>
      </c>
      <c r="L128" s="65">
        <f t="shared" si="66"/>
        <v>7.5660913158259691</v>
      </c>
      <c r="M128" s="65">
        <f t="shared" si="66"/>
        <v>8.8332630442289837</v>
      </c>
      <c r="N128" s="65">
        <f t="shared" si="66"/>
        <v>8.1342930398929649</v>
      </c>
      <c r="O128" s="65">
        <f t="shared" si="66"/>
        <v>8.8332630442289837</v>
      </c>
      <c r="P128" s="65">
        <f t="shared" si="66"/>
        <v>6.3738705564697522</v>
      </c>
      <c r="Q128" s="65">
        <f t="shared" si="66"/>
        <v>6.0270830702450962</v>
      </c>
      <c r="R128" s="65">
        <f t="shared" si="66"/>
        <v>8.1800505304536397</v>
      </c>
      <c r="S128" s="65">
        <f t="shared" si="66"/>
        <v>6.7363530312209265</v>
      </c>
      <c r="T128" s="65">
        <f t="shared" si="66"/>
        <v>5.3800559334006106</v>
      </c>
      <c r="U128" s="65">
        <f t="shared" si="66"/>
        <v>5.3066940421673436</v>
      </c>
      <c r="V128" s="65">
        <f t="shared" si="66"/>
        <v>4.7059095127896242</v>
      </c>
      <c r="W128" s="65">
        <f t="shared" ref="W128" si="67">IF($V3&gt;W$49,0,LOG10(MAX($T3/W$47,$W3/W$48)))</f>
        <v>6.3281130659090774</v>
      </c>
      <c r="Y128" s="143"/>
      <c r="Z128" t="s">
        <v>144</v>
      </c>
      <c r="AA128" s="36">
        <f t="shared" ref="AA128:AA139" si="68">C128^10</f>
        <v>0</v>
      </c>
      <c r="AB128" s="36">
        <f t="shared" ref="AB128:AB139" si="69">D128^10</f>
        <v>44142483.110189259</v>
      </c>
      <c r="AC128" s="36">
        <f t="shared" ref="AC128:AC139" si="70">E128^10</f>
        <v>18654048.389720488</v>
      </c>
      <c r="AD128" s="36">
        <f t="shared" ref="AD128:AD139" si="71">F128^10</f>
        <v>19657716.90509668</v>
      </c>
      <c r="AE128" s="36">
        <f t="shared" ref="AE128:AE139" si="72">G128^10</f>
        <v>11031088.624631057</v>
      </c>
      <c r="AF128" s="36">
        <f t="shared" ref="AF128:AF139" si="73">H128^10</f>
        <v>24836526.939026106</v>
      </c>
      <c r="AG128" s="36">
        <f t="shared" ref="AG128:AG139" si="74">I128^10</f>
        <v>43218370.941746175</v>
      </c>
      <c r="AH128" s="36">
        <f t="shared" ref="AH128:AH139" si="75">J128^10</f>
        <v>117644016.38720377</v>
      </c>
      <c r="AI128" s="36">
        <f t="shared" ref="AI128:AI139" si="76">K128^10</f>
        <v>22333907.762477092</v>
      </c>
      <c r="AJ128" s="36">
        <f t="shared" ref="AJ128:AJ139" si="77">L128^10</f>
        <v>614774415.07296491</v>
      </c>
      <c r="AK128" s="36">
        <f t="shared" ref="AK128:AK139" si="78">M128^10</f>
        <v>2892088869.9520984</v>
      </c>
      <c r="AL128" s="36">
        <f t="shared" ref="AL128:AL139" si="79">N128^10</f>
        <v>1268230341.4787002</v>
      </c>
      <c r="AM128" s="36">
        <f t="shared" ref="AM128:AM139" si="80">O128^10</f>
        <v>2892088869.9520984</v>
      </c>
      <c r="AN128" s="36">
        <f t="shared" ref="AN128:AN139" si="81">P128^10</f>
        <v>110670632.93656547</v>
      </c>
      <c r="AO128" s="36">
        <f t="shared" ref="AO128:AO139" si="82">Q128^10</f>
        <v>63251637.478943169</v>
      </c>
      <c r="AP128" s="36">
        <f t="shared" ref="AP128:AP139" si="83">R128^10</f>
        <v>1341404825.6905644</v>
      </c>
      <c r="AQ128" s="36">
        <f t="shared" ref="AQ128:AQ139" si="84">S128^10</f>
        <v>192419193.95432594</v>
      </c>
      <c r="AR128" s="36">
        <f t="shared" ref="AR128:AR139" si="85">T128^10</f>
        <v>20317389.575005364</v>
      </c>
      <c r="AS128" s="36">
        <f t="shared" ref="AS128:AS139" si="86">U128^10</f>
        <v>17710894.28173076</v>
      </c>
      <c r="AT128" s="36">
        <f t="shared" ref="AT128:AT139" si="87">V128^10</f>
        <v>5326423.8350816509</v>
      </c>
      <c r="AU128" s="36">
        <f t="shared" ref="AU128:AU139" si="88">W128^10</f>
        <v>102977490.00207041</v>
      </c>
    </row>
    <row r="129" spans="1:47" ht="14.7" thickBot="1" x14ac:dyDescent="0.6">
      <c r="A129" s="72"/>
      <c r="B129" s="3" t="s">
        <v>32</v>
      </c>
      <c r="C129" s="65">
        <f t="shared" ref="C129:V129" si="89">IF($V4&gt;C$49,0,LOG10(MAX($T4/C$47,$W4/C$48)))</f>
        <v>0</v>
      </c>
      <c r="D129" s="65">
        <f t="shared" si="89"/>
        <v>0</v>
      </c>
      <c r="E129" s="65">
        <f t="shared" si="89"/>
        <v>0</v>
      </c>
      <c r="F129" s="65">
        <f t="shared" si="89"/>
        <v>0</v>
      </c>
      <c r="G129" s="65">
        <f t="shared" si="89"/>
        <v>5.2645155999758346</v>
      </c>
      <c r="H129" s="65">
        <f t="shared" si="89"/>
        <v>5.6924188320253153</v>
      </c>
      <c r="I129" s="65">
        <f t="shared" si="89"/>
        <v>5.9457568373514222</v>
      </c>
      <c r="J129" s="65">
        <f t="shared" si="89"/>
        <v>0</v>
      </c>
      <c r="K129" s="65">
        <f t="shared" si="89"/>
        <v>0</v>
      </c>
      <c r="L129" s="65">
        <f t="shared" si="89"/>
        <v>5.9287234980526415</v>
      </c>
      <c r="M129" s="65">
        <f t="shared" si="89"/>
        <v>0</v>
      </c>
      <c r="N129" s="65">
        <f t="shared" si="89"/>
        <v>0</v>
      </c>
      <c r="O129" s="65">
        <f t="shared" si="89"/>
        <v>0</v>
      </c>
      <c r="P129" s="65">
        <f t="shared" si="89"/>
        <v>5.5163275729696339</v>
      </c>
      <c r="Q129" s="65">
        <f t="shared" si="89"/>
        <v>5.3333968893836472</v>
      </c>
      <c r="R129" s="65">
        <f t="shared" si="89"/>
        <v>0</v>
      </c>
      <c r="S129" s="65">
        <f t="shared" si="89"/>
        <v>0</v>
      </c>
      <c r="T129" s="65">
        <f t="shared" si="89"/>
        <v>0</v>
      </c>
      <c r="U129" s="65">
        <f t="shared" si="89"/>
        <v>0</v>
      </c>
      <c r="V129" s="65">
        <f t="shared" si="89"/>
        <v>4.9091279419892606</v>
      </c>
      <c r="W129" s="65">
        <f t="shared" ref="W129" si="90">IF($V4&gt;W$49,0,LOG10(MAX($T4/W$47,$W4/W$48)))</f>
        <v>0</v>
      </c>
      <c r="Y129" s="143"/>
      <c r="Z129" t="s">
        <v>143</v>
      </c>
      <c r="AA129" s="36">
        <f t="shared" si="68"/>
        <v>0</v>
      </c>
      <c r="AB129" s="36">
        <f t="shared" si="69"/>
        <v>0</v>
      </c>
      <c r="AC129" s="36">
        <f t="shared" si="70"/>
        <v>0</v>
      </c>
      <c r="AD129" s="36">
        <f t="shared" si="71"/>
        <v>0</v>
      </c>
      <c r="AE129" s="36">
        <f t="shared" si="72"/>
        <v>16352500.436336793</v>
      </c>
      <c r="AF129" s="36">
        <f t="shared" si="73"/>
        <v>35724689.879408397</v>
      </c>
      <c r="AG129" s="36">
        <f t="shared" si="74"/>
        <v>55216826.116557471</v>
      </c>
      <c r="AH129" s="36">
        <f t="shared" si="75"/>
        <v>0</v>
      </c>
      <c r="AI129" s="36">
        <f t="shared" si="76"/>
        <v>0</v>
      </c>
      <c r="AJ129" s="36">
        <f t="shared" si="77"/>
        <v>53655217.942749374</v>
      </c>
      <c r="AK129" s="36">
        <f t="shared" si="78"/>
        <v>0</v>
      </c>
      <c r="AL129" s="36">
        <f t="shared" si="79"/>
        <v>0</v>
      </c>
      <c r="AM129" s="36">
        <f t="shared" si="80"/>
        <v>0</v>
      </c>
      <c r="AN129" s="36">
        <f t="shared" si="81"/>
        <v>26091585.907735378</v>
      </c>
      <c r="AO129" s="36">
        <f t="shared" si="82"/>
        <v>18622545.021222793</v>
      </c>
      <c r="AP129" s="36">
        <f t="shared" si="83"/>
        <v>0</v>
      </c>
      <c r="AQ129" s="36">
        <f t="shared" si="84"/>
        <v>0</v>
      </c>
      <c r="AR129" s="36">
        <f t="shared" si="85"/>
        <v>0</v>
      </c>
      <c r="AS129" s="36">
        <f t="shared" si="86"/>
        <v>0</v>
      </c>
      <c r="AT129" s="36">
        <f t="shared" si="87"/>
        <v>8129119.5136911552</v>
      </c>
      <c r="AU129" s="36">
        <f t="shared" si="88"/>
        <v>0</v>
      </c>
    </row>
    <row r="130" spans="1:47" ht="14.7" thickBot="1" x14ac:dyDescent="0.6">
      <c r="A130" s="72"/>
      <c r="B130" s="3" t="s">
        <v>33</v>
      </c>
      <c r="C130" s="65">
        <f t="shared" ref="C130:V130" si="91">IF($V5&gt;C$49,0,LOG10(MAX($T5/C$47,$W5/C$48)))</f>
        <v>0</v>
      </c>
      <c r="D130" s="65">
        <f t="shared" si="91"/>
        <v>0</v>
      </c>
      <c r="E130" s="65">
        <f t="shared" si="91"/>
        <v>0</v>
      </c>
      <c r="F130" s="65">
        <f t="shared" si="91"/>
        <v>0</v>
      </c>
      <c r="G130" s="65">
        <f t="shared" si="91"/>
        <v>3.0688287848567728</v>
      </c>
      <c r="H130" s="65">
        <f t="shared" si="91"/>
        <v>3.4967320169062535</v>
      </c>
      <c r="I130" s="65">
        <f t="shared" si="91"/>
        <v>3.75007002223236</v>
      </c>
      <c r="J130" s="65">
        <f t="shared" si="91"/>
        <v>0</v>
      </c>
      <c r="K130" s="65">
        <f t="shared" si="91"/>
        <v>0</v>
      </c>
      <c r="L130" s="65">
        <f t="shared" si="91"/>
        <v>3.7330366829335797</v>
      </c>
      <c r="M130" s="65">
        <f t="shared" si="91"/>
        <v>0</v>
      </c>
      <c r="N130" s="65">
        <f t="shared" si="91"/>
        <v>0</v>
      </c>
      <c r="O130" s="65">
        <f t="shared" si="91"/>
        <v>0</v>
      </c>
      <c r="P130" s="65">
        <f t="shared" si="91"/>
        <v>3.3206407578505721</v>
      </c>
      <c r="Q130" s="65">
        <f t="shared" si="91"/>
        <v>3.1377100742645854</v>
      </c>
      <c r="R130" s="65">
        <f t="shared" si="91"/>
        <v>0</v>
      </c>
      <c r="S130" s="65">
        <f t="shared" si="91"/>
        <v>0</v>
      </c>
      <c r="T130" s="65">
        <f t="shared" si="91"/>
        <v>0</v>
      </c>
      <c r="U130" s="65">
        <f t="shared" si="91"/>
        <v>0</v>
      </c>
      <c r="V130" s="65">
        <f t="shared" si="91"/>
        <v>2.7134411268701988</v>
      </c>
      <c r="W130" s="65">
        <f t="shared" ref="W130" si="92">IF($V5&gt;W$49,0,LOG10(MAX($T5/W$47,$W5/W$48)))</f>
        <v>0</v>
      </c>
      <c r="Y130" s="143"/>
      <c r="Z130" t="s">
        <v>178</v>
      </c>
      <c r="AA130" s="36">
        <f t="shared" si="68"/>
        <v>0</v>
      </c>
      <c r="AB130" s="36">
        <f t="shared" si="69"/>
        <v>0</v>
      </c>
      <c r="AC130" s="36">
        <f t="shared" si="70"/>
        <v>0</v>
      </c>
      <c r="AD130" s="36">
        <f t="shared" si="71"/>
        <v>0</v>
      </c>
      <c r="AE130" s="36">
        <f t="shared" si="72"/>
        <v>74084.369791175064</v>
      </c>
      <c r="AF130" s="36">
        <f t="shared" si="73"/>
        <v>273289.84892515832</v>
      </c>
      <c r="AG130" s="36">
        <f t="shared" si="74"/>
        <v>550039.36316183757</v>
      </c>
      <c r="AH130" s="36">
        <f t="shared" si="75"/>
        <v>0</v>
      </c>
      <c r="AI130" s="36">
        <f t="shared" si="76"/>
        <v>0</v>
      </c>
      <c r="AJ130" s="36">
        <f t="shared" si="77"/>
        <v>525560.32885219494</v>
      </c>
      <c r="AK130" s="36">
        <f t="shared" si="78"/>
        <v>0</v>
      </c>
      <c r="AL130" s="36">
        <f t="shared" si="79"/>
        <v>0</v>
      </c>
      <c r="AM130" s="36">
        <f t="shared" si="80"/>
        <v>0</v>
      </c>
      <c r="AN130" s="36">
        <f t="shared" si="81"/>
        <v>163011.76198292797</v>
      </c>
      <c r="AO130" s="36">
        <f t="shared" si="82"/>
        <v>92497.100917189149</v>
      </c>
      <c r="AP130" s="36">
        <f t="shared" si="83"/>
        <v>0</v>
      </c>
      <c r="AQ130" s="36">
        <f t="shared" si="84"/>
        <v>0</v>
      </c>
      <c r="AR130" s="36">
        <f t="shared" si="85"/>
        <v>0</v>
      </c>
      <c r="AS130" s="36">
        <f t="shared" si="86"/>
        <v>0</v>
      </c>
      <c r="AT130" s="36">
        <f t="shared" si="87"/>
        <v>21637.348095875601</v>
      </c>
      <c r="AU130" s="36">
        <f t="shared" si="88"/>
        <v>0</v>
      </c>
    </row>
    <row r="131" spans="1:47" ht="14.7" thickBot="1" x14ac:dyDescent="0.6">
      <c r="A131" s="72"/>
      <c r="B131" s="3" t="s">
        <v>34</v>
      </c>
      <c r="C131" s="65">
        <f t="shared" ref="C131:V131" si="93">IF($V6&gt;C$49,0,LOG10(MAX($T6/C$47,$W6/C$48)))</f>
        <v>0</v>
      </c>
      <c r="D131" s="65">
        <f t="shared" si="93"/>
        <v>0</v>
      </c>
      <c r="E131" s="65">
        <f t="shared" si="93"/>
        <v>0</v>
      </c>
      <c r="F131" s="65">
        <f t="shared" si="93"/>
        <v>0</v>
      </c>
      <c r="G131" s="65">
        <f t="shared" si="93"/>
        <v>0.84954225200501665</v>
      </c>
      <c r="H131" s="65">
        <f t="shared" si="93"/>
        <v>1.2774454840544975</v>
      </c>
      <c r="I131" s="65">
        <f t="shared" si="93"/>
        <v>1.5307834893806038</v>
      </c>
      <c r="J131" s="65">
        <f t="shared" si="93"/>
        <v>0</v>
      </c>
      <c r="K131" s="65">
        <f t="shared" si="93"/>
        <v>0</v>
      </c>
      <c r="L131" s="65">
        <f t="shared" si="93"/>
        <v>1.5137501500818236</v>
      </c>
      <c r="M131" s="65">
        <f t="shared" si="93"/>
        <v>0</v>
      </c>
      <c r="N131" s="65">
        <f t="shared" si="93"/>
        <v>0</v>
      </c>
      <c r="O131" s="65">
        <f t="shared" si="93"/>
        <v>0</v>
      </c>
      <c r="P131" s="65">
        <f t="shared" si="93"/>
        <v>1.1013542249988162</v>
      </c>
      <c r="Q131" s="65">
        <f t="shared" si="93"/>
        <v>0.91842354141282956</v>
      </c>
      <c r="R131" s="65">
        <f t="shared" si="93"/>
        <v>0</v>
      </c>
      <c r="S131" s="65">
        <f t="shared" si="93"/>
        <v>0</v>
      </c>
      <c r="T131" s="65">
        <f t="shared" si="93"/>
        <v>0</v>
      </c>
      <c r="U131" s="65">
        <f t="shared" si="93"/>
        <v>0</v>
      </c>
      <c r="V131" s="65">
        <f t="shared" si="93"/>
        <v>0.49415459401844281</v>
      </c>
      <c r="W131" s="65">
        <f t="shared" ref="W131" si="94">IF($V6&gt;W$49,0,LOG10(MAX($T6/W$47,$W6/W$48)))</f>
        <v>0</v>
      </c>
      <c r="Y131" s="143"/>
      <c r="Z131" t="s">
        <v>174</v>
      </c>
      <c r="AA131" s="36">
        <f t="shared" si="68"/>
        <v>0</v>
      </c>
      <c r="AB131" s="36">
        <f t="shared" si="69"/>
        <v>0</v>
      </c>
      <c r="AC131" s="36">
        <f t="shared" si="70"/>
        <v>0</v>
      </c>
      <c r="AD131" s="36">
        <f t="shared" si="71"/>
        <v>0</v>
      </c>
      <c r="AE131" s="36">
        <f t="shared" si="72"/>
        <v>0.19581674803868315</v>
      </c>
      <c r="AF131" s="36">
        <f t="shared" si="73"/>
        <v>11.572408446020376</v>
      </c>
      <c r="AG131" s="36">
        <f t="shared" si="74"/>
        <v>70.654152917198488</v>
      </c>
      <c r="AH131" s="36">
        <f t="shared" si="75"/>
        <v>0</v>
      </c>
      <c r="AI131" s="36">
        <f t="shared" si="76"/>
        <v>0</v>
      </c>
      <c r="AJ131" s="36">
        <f t="shared" si="77"/>
        <v>63.174526001931191</v>
      </c>
      <c r="AK131" s="36">
        <f t="shared" si="78"/>
        <v>0</v>
      </c>
      <c r="AL131" s="36">
        <f t="shared" si="79"/>
        <v>0</v>
      </c>
      <c r="AM131" s="36">
        <f t="shared" si="80"/>
        <v>0</v>
      </c>
      <c r="AN131" s="36">
        <f t="shared" si="81"/>
        <v>2.6258518623947951</v>
      </c>
      <c r="AO131" s="36">
        <f t="shared" si="82"/>
        <v>0.42700216020467879</v>
      </c>
      <c r="AP131" s="36">
        <f t="shared" si="83"/>
        <v>0</v>
      </c>
      <c r="AQ131" s="36">
        <f t="shared" si="84"/>
        <v>0</v>
      </c>
      <c r="AR131" s="36">
        <f t="shared" si="85"/>
        <v>0</v>
      </c>
      <c r="AS131" s="36">
        <f t="shared" si="86"/>
        <v>0</v>
      </c>
      <c r="AT131" s="36">
        <f t="shared" si="87"/>
        <v>8.6821717417537281E-4</v>
      </c>
      <c r="AU131" s="36">
        <f t="shared" si="88"/>
        <v>0</v>
      </c>
    </row>
    <row r="132" spans="1:47" ht="14.7" thickBot="1" x14ac:dyDescent="0.6">
      <c r="A132" s="72"/>
      <c r="B132" s="3" t="s">
        <v>35</v>
      </c>
      <c r="C132" s="65">
        <f t="shared" ref="C132:V132" si="95">IF($V7&gt;C$49,0,LOG10(MAX($T7/C$47,$W7/C$48)))</f>
        <v>-2.5142785735184199</v>
      </c>
      <c r="D132" s="65">
        <f t="shared" si="95"/>
        <v>-2.3354644561272653</v>
      </c>
      <c r="E132" s="65">
        <f t="shared" si="95"/>
        <v>-2.8153085691824011</v>
      </c>
      <c r="F132" s="65">
        <f t="shared" si="95"/>
        <v>-2.7872798455821575</v>
      </c>
      <c r="G132" s="65">
        <f t="shared" si="95"/>
        <v>-3.0883098412461387</v>
      </c>
      <c r="H132" s="65">
        <f t="shared" si="95"/>
        <v>-2.6604066091966581</v>
      </c>
      <c r="I132" s="65">
        <f t="shared" si="95"/>
        <v>-2.4070686038705515</v>
      </c>
      <c r="J132" s="65">
        <f t="shared" si="95"/>
        <v>-1.7366698522270705</v>
      </c>
      <c r="K132" s="65">
        <f t="shared" si="95"/>
        <v>-2.7183985561743449</v>
      </c>
      <c r="L132" s="65">
        <f t="shared" si="95"/>
        <v>-2.4241019431693318</v>
      </c>
      <c r="M132" s="65">
        <f t="shared" si="95"/>
        <v>-1.2132485778544388</v>
      </c>
      <c r="N132" s="65">
        <f t="shared" si="95"/>
        <v>-1.2132485778544388</v>
      </c>
      <c r="O132" s="65">
        <f t="shared" si="95"/>
        <v>-0.91221858219045759</v>
      </c>
      <c r="P132" s="65">
        <f t="shared" si="95"/>
        <v>-2.8364978682523394</v>
      </c>
      <c r="Q132" s="65">
        <f t="shared" si="95"/>
        <v>-3.0194285518383261</v>
      </c>
      <c r="R132" s="65">
        <f t="shared" si="95"/>
        <v>-1.8664610916297826</v>
      </c>
      <c r="S132" s="65">
        <f t="shared" si="95"/>
        <v>-1.8050086125425893</v>
      </c>
      <c r="T132" s="65">
        <f t="shared" si="95"/>
        <v>-2.7695510786217259</v>
      </c>
      <c r="U132" s="65">
        <f t="shared" si="95"/>
        <v>-2.8429129698549929</v>
      </c>
      <c r="V132" s="65">
        <f t="shared" si="95"/>
        <v>-3.4436974992327127</v>
      </c>
      <c r="W132" s="65">
        <f t="shared" ref="W132" si="96">IF($V7&gt;W$49,0,LOG10(MAX($T7/W$47,$W7/W$48)))</f>
        <v>-2.6385381943012329</v>
      </c>
      <c r="Y132" s="143"/>
      <c r="Z132" t="s">
        <v>145</v>
      </c>
      <c r="AA132" s="36">
        <f t="shared" si="68"/>
        <v>10095.642045473323</v>
      </c>
      <c r="AB132" s="36">
        <f t="shared" si="69"/>
        <v>4827.6149179546792</v>
      </c>
      <c r="AC132" s="36">
        <f t="shared" si="70"/>
        <v>31279.515842183671</v>
      </c>
      <c r="AD132" s="36">
        <f t="shared" si="71"/>
        <v>28301.258285800184</v>
      </c>
      <c r="AE132" s="36">
        <f t="shared" si="72"/>
        <v>78923.921084928254</v>
      </c>
      <c r="AF132" s="36">
        <f t="shared" si="73"/>
        <v>17761.522107389028</v>
      </c>
      <c r="AG132" s="36">
        <f t="shared" si="74"/>
        <v>6529.5715143803973</v>
      </c>
      <c r="AH132" s="36">
        <f t="shared" si="75"/>
        <v>249.5586640266483</v>
      </c>
      <c r="AI132" s="36">
        <f t="shared" si="76"/>
        <v>22035.926167501599</v>
      </c>
      <c r="AJ132" s="36">
        <f t="shared" si="77"/>
        <v>7006.6237516228002</v>
      </c>
      <c r="AK132" s="36">
        <f t="shared" si="78"/>
        <v>6.9103160254382576</v>
      </c>
      <c r="AL132" s="36">
        <f t="shared" si="79"/>
        <v>6.9103160254382576</v>
      </c>
      <c r="AM132" s="36">
        <f t="shared" si="80"/>
        <v>0.39901493101407992</v>
      </c>
      <c r="AN132" s="36">
        <f t="shared" si="81"/>
        <v>33715.112650689909</v>
      </c>
      <c r="AO132" s="36">
        <f t="shared" si="82"/>
        <v>62986.514214102295</v>
      </c>
      <c r="AP132" s="36">
        <f t="shared" si="83"/>
        <v>513.08510866595373</v>
      </c>
      <c r="AQ132" s="36">
        <f t="shared" si="84"/>
        <v>367.10710057164522</v>
      </c>
      <c r="AR132" s="36">
        <f t="shared" si="85"/>
        <v>26551.78924319892</v>
      </c>
      <c r="AS132" s="36">
        <f t="shared" si="86"/>
        <v>34485.430214512053</v>
      </c>
      <c r="AT132" s="36">
        <f t="shared" si="87"/>
        <v>234557.83925016437</v>
      </c>
      <c r="AU132" s="36">
        <f t="shared" si="88"/>
        <v>16354.371248163216</v>
      </c>
    </row>
    <row r="133" spans="1:47" ht="14.7" thickBot="1" x14ac:dyDescent="0.6">
      <c r="A133" s="72"/>
      <c r="B133" s="3" t="s">
        <v>36</v>
      </c>
      <c r="C133" s="65">
        <f t="shared" ref="C133:V133" si="97">IF($V8&gt;C$49,0,LOG10(MAX($T8/C$47,$W8/C$48)))</f>
        <v>0</v>
      </c>
      <c r="D133" s="65">
        <f t="shared" si="97"/>
        <v>0</v>
      </c>
      <c r="E133" s="65">
        <f t="shared" si="97"/>
        <v>0</v>
      </c>
      <c r="F133" s="65">
        <f t="shared" si="97"/>
        <v>0</v>
      </c>
      <c r="G133" s="65">
        <f t="shared" si="97"/>
        <v>4.9634856043118534</v>
      </c>
      <c r="H133" s="65">
        <f t="shared" si="97"/>
        <v>5.391388836361334</v>
      </c>
      <c r="I133" s="65">
        <f t="shared" si="97"/>
        <v>5.644726841687441</v>
      </c>
      <c r="J133" s="65">
        <f t="shared" si="97"/>
        <v>0</v>
      </c>
      <c r="K133" s="65">
        <f t="shared" si="97"/>
        <v>0</v>
      </c>
      <c r="L133" s="65">
        <f t="shared" si="97"/>
        <v>5.6276935023886603</v>
      </c>
      <c r="M133" s="65">
        <f t="shared" si="97"/>
        <v>0</v>
      </c>
      <c r="N133" s="65">
        <f t="shared" si="97"/>
        <v>0</v>
      </c>
      <c r="O133" s="65">
        <f t="shared" si="97"/>
        <v>0</v>
      </c>
      <c r="P133" s="65">
        <f t="shared" si="97"/>
        <v>5.2152975773056527</v>
      </c>
      <c r="Q133" s="65">
        <f t="shared" si="97"/>
        <v>5.0323668937196659</v>
      </c>
      <c r="R133" s="65">
        <f t="shared" si="97"/>
        <v>0</v>
      </c>
      <c r="S133" s="65">
        <f t="shared" si="97"/>
        <v>0</v>
      </c>
      <c r="T133" s="65">
        <f t="shared" si="97"/>
        <v>0</v>
      </c>
      <c r="U133" s="65">
        <f t="shared" si="97"/>
        <v>0</v>
      </c>
      <c r="V133" s="65">
        <f t="shared" si="97"/>
        <v>4.6080979463252794</v>
      </c>
      <c r="W133" s="65">
        <f t="shared" ref="W133" si="98">IF($V8&gt;W$49,0,LOG10(MAX($T8/W$47,$W8/W$48)))</f>
        <v>0</v>
      </c>
      <c r="Y133" s="143"/>
      <c r="Z133" t="s">
        <v>146</v>
      </c>
      <c r="AA133" s="36">
        <f t="shared" si="68"/>
        <v>0</v>
      </c>
      <c r="AB133" s="36">
        <f t="shared" si="69"/>
        <v>0</v>
      </c>
      <c r="AC133" s="36">
        <f t="shared" si="70"/>
        <v>0</v>
      </c>
      <c r="AD133" s="36">
        <f t="shared" si="71"/>
        <v>0</v>
      </c>
      <c r="AE133" s="36">
        <f t="shared" si="72"/>
        <v>9075439.5058159828</v>
      </c>
      <c r="AF133" s="36">
        <f t="shared" si="73"/>
        <v>20749448.129873913</v>
      </c>
      <c r="AG133" s="36">
        <f t="shared" si="74"/>
        <v>32841977.930489901</v>
      </c>
      <c r="AH133" s="36">
        <f t="shared" si="75"/>
        <v>0</v>
      </c>
      <c r="AI133" s="36">
        <f t="shared" si="76"/>
        <v>0</v>
      </c>
      <c r="AJ133" s="36">
        <f t="shared" si="77"/>
        <v>31864298.874759905</v>
      </c>
      <c r="AK133" s="36">
        <f t="shared" si="78"/>
        <v>0</v>
      </c>
      <c r="AL133" s="36">
        <f t="shared" si="79"/>
        <v>0</v>
      </c>
      <c r="AM133" s="36">
        <f t="shared" si="80"/>
        <v>0</v>
      </c>
      <c r="AN133" s="36">
        <f t="shared" si="81"/>
        <v>14886442.930312604</v>
      </c>
      <c r="AO133" s="36">
        <f t="shared" si="82"/>
        <v>10416527.532051643</v>
      </c>
      <c r="AP133" s="36">
        <f t="shared" si="83"/>
        <v>0</v>
      </c>
      <c r="AQ133" s="36">
        <f t="shared" si="84"/>
        <v>0</v>
      </c>
      <c r="AR133" s="36">
        <f t="shared" si="85"/>
        <v>0</v>
      </c>
      <c r="AS133" s="36">
        <f t="shared" si="86"/>
        <v>0</v>
      </c>
      <c r="AT133" s="36">
        <f t="shared" si="87"/>
        <v>4317347.5940913847</v>
      </c>
      <c r="AU133" s="36">
        <f t="shared" si="88"/>
        <v>0</v>
      </c>
    </row>
    <row r="134" spans="1:47" ht="14.7" thickBot="1" x14ac:dyDescent="0.6">
      <c r="A134" s="72"/>
      <c r="B134" s="3" t="s">
        <v>37</v>
      </c>
      <c r="C134" s="65">
        <f t="shared" ref="C134:V134" si="99">IF($V9&gt;C$49,0,LOG10(MAX($T9/C$47,$W9/C$48)))</f>
        <v>0</v>
      </c>
      <c r="D134" s="65">
        <f t="shared" si="99"/>
        <v>4.4963949566655206</v>
      </c>
      <c r="E134" s="65">
        <f t="shared" si="99"/>
        <v>4.0165508436103847</v>
      </c>
      <c r="F134" s="65">
        <f t="shared" si="99"/>
        <v>4.0445795672106284</v>
      </c>
      <c r="G134" s="65">
        <f t="shared" si="99"/>
        <v>3.7435495715466471</v>
      </c>
      <c r="H134" s="65">
        <f t="shared" si="99"/>
        <v>4.1714528035961278</v>
      </c>
      <c r="I134" s="65">
        <f t="shared" si="99"/>
        <v>4.4247908089222348</v>
      </c>
      <c r="J134" s="65">
        <f t="shared" si="99"/>
        <v>5.095189560565716</v>
      </c>
      <c r="K134" s="65">
        <f t="shared" si="99"/>
        <v>0</v>
      </c>
      <c r="L134" s="65">
        <f t="shared" si="99"/>
        <v>4.407757469623454</v>
      </c>
      <c r="M134" s="65">
        <f t="shared" si="99"/>
        <v>0</v>
      </c>
      <c r="N134" s="65">
        <f t="shared" si="99"/>
        <v>0</v>
      </c>
      <c r="O134" s="65">
        <f t="shared" si="99"/>
        <v>0</v>
      </c>
      <c r="P134" s="65">
        <f t="shared" si="99"/>
        <v>3.9953615445404469</v>
      </c>
      <c r="Q134" s="65">
        <f t="shared" si="99"/>
        <v>3.8124308609544602</v>
      </c>
      <c r="R134" s="65">
        <f t="shared" si="99"/>
        <v>0</v>
      </c>
      <c r="S134" s="65">
        <f t="shared" si="99"/>
        <v>5.0268508002501973</v>
      </c>
      <c r="T134" s="65">
        <f t="shared" si="99"/>
        <v>4.0623083341710604</v>
      </c>
      <c r="U134" s="65">
        <f t="shared" si="99"/>
        <v>3.988946442937793</v>
      </c>
      <c r="V134" s="65">
        <f t="shared" si="99"/>
        <v>3.3881619135600731</v>
      </c>
      <c r="W134" s="65">
        <f t="shared" ref="W134" si="100">IF($V9&gt;W$49,0,LOG10(MAX($T9/W$47,$W9/W$48)))</f>
        <v>0</v>
      </c>
      <c r="Y134" s="143"/>
      <c r="Z134" t="s">
        <v>147</v>
      </c>
      <c r="AA134" s="36">
        <f t="shared" si="68"/>
        <v>0</v>
      </c>
      <c r="AB134" s="36">
        <f t="shared" si="69"/>
        <v>3377882.3575093881</v>
      </c>
      <c r="AC134" s="36">
        <f t="shared" si="70"/>
        <v>1092779.875806255</v>
      </c>
      <c r="AD134" s="36">
        <f t="shared" si="71"/>
        <v>1171477.1856175237</v>
      </c>
      <c r="AE134" s="36">
        <f t="shared" si="72"/>
        <v>540550.01492349093</v>
      </c>
      <c r="AF134" s="36">
        <f t="shared" si="73"/>
        <v>1595413.7944846677</v>
      </c>
      <c r="AG134" s="36">
        <f t="shared" si="74"/>
        <v>2876917.6691829585</v>
      </c>
      <c r="AH134" s="36">
        <f t="shared" si="75"/>
        <v>11792434.172398215</v>
      </c>
      <c r="AI134" s="36">
        <f t="shared" si="76"/>
        <v>0</v>
      </c>
      <c r="AJ134" s="36">
        <f t="shared" si="77"/>
        <v>2768068.9313135985</v>
      </c>
      <c r="AK134" s="36">
        <f t="shared" si="78"/>
        <v>0</v>
      </c>
      <c r="AL134" s="36">
        <f t="shared" si="79"/>
        <v>0</v>
      </c>
      <c r="AM134" s="36">
        <f t="shared" si="80"/>
        <v>0</v>
      </c>
      <c r="AN134" s="36">
        <f t="shared" si="81"/>
        <v>1036479.8226178919</v>
      </c>
      <c r="AO134" s="36">
        <f t="shared" si="82"/>
        <v>648663.95285519189</v>
      </c>
      <c r="AP134" s="36">
        <f t="shared" si="83"/>
        <v>0</v>
      </c>
      <c r="AQ134" s="36">
        <f t="shared" si="84"/>
        <v>10302911.116152763</v>
      </c>
      <c r="AR134" s="36">
        <f t="shared" si="85"/>
        <v>1223851.8199813857</v>
      </c>
      <c r="AS134" s="36">
        <f t="shared" si="86"/>
        <v>1019957.4477067719</v>
      </c>
      <c r="AT134" s="36">
        <f t="shared" si="87"/>
        <v>199361.62378733847</v>
      </c>
      <c r="AU134" s="36">
        <f t="shared" si="88"/>
        <v>0</v>
      </c>
    </row>
    <row r="135" spans="1:47" ht="14.7" thickBot="1" x14ac:dyDescent="0.6">
      <c r="A135" s="72"/>
      <c r="B135" s="3" t="s">
        <v>38</v>
      </c>
      <c r="C135" s="65">
        <f t="shared" ref="C135:V135" si="101">IF($V10&gt;C$49,0,LOG10(MAX($T10/C$47,$W10/C$48)))</f>
        <v>0</v>
      </c>
      <c r="D135" s="65">
        <f t="shared" si="101"/>
        <v>4.8700960522177326</v>
      </c>
      <c r="E135" s="65">
        <f t="shared" si="101"/>
        <v>4.3902519391625976</v>
      </c>
      <c r="F135" s="65">
        <f t="shared" si="101"/>
        <v>4.4182806627628404</v>
      </c>
      <c r="G135" s="65">
        <f t="shared" si="101"/>
        <v>4.1172506670988591</v>
      </c>
      <c r="H135" s="65">
        <f t="shared" si="101"/>
        <v>4.5451538991483407</v>
      </c>
      <c r="I135" s="65">
        <f t="shared" si="101"/>
        <v>4.7984919044744467</v>
      </c>
      <c r="J135" s="65">
        <f t="shared" si="101"/>
        <v>5.468890656117928</v>
      </c>
      <c r="K135" s="65">
        <f t="shared" si="101"/>
        <v>4.4871619521706538</v>
      </c>
      <c r="L135" s="65">
        <f t="shared" si="101"/>
        <v>4.781458565175666</v>
      </c>
      <c r="M135" s="65">
        <f t="shared" si="101"/>
        <v>0</v>
      </c>
      <c r="N135" s="65">
        <f t="shared" si="101"/>
        <v>5.9923119304905592</v>
      </c>
      <c r="O135" s="65">
        <f t="shared" si="101"/>
        <v>0</v>
      </c>
      <c r="P135" s="65">
        <f t="shared" si="101"/>
        <v>4.3690626400926593</v>
      </c>
      <c r="Q135" s="65">
        <f t="shared" si="101"/>
        <v>4.1861319565066726</v>
      </c>
      <c r="R135" s="65">
        <f t="shared" si="101"/>
        <v>0</v>
      </c>
      <c r="S135" s="65">
        <f t="shared" si="101"/>
        <v>5.4005518958024092</v>
      </c>
      <c r="T135" s="65">
        <f t="shared" si="101"/>
        <v>4.4360094297232724</v>
      </c>
      <c r="U135" s="65">
        <f t="shared" si="101"/>
        <v>4.3626475384900054</v>
      </c>
      <c r="V135" s="65">
        <f t="shared" si="101"/>
        <v>3.7618630091122855</v>
      </c>
      <c r="W135" s="65">
        <f t="shared" ref="W135" si="102">IF($V10&gt;W$49,0,LOG10(MAX($T10/W$47,$W10/W$48)))</f>
        <v>4.5670223140437658</v>
      </c>
      <c r="Y135" s="143"/>
      <c r="Z135" t="s">
        <v>148</v>
      </c>
      <c r="AA135" s="36">
        <f t="shared" si="68"/>
        <v>0</v>
      </c>
      <c r="AB135" s="36">
        <f t="shared" si="69"/>
        <v>7505424.6331312349</v>
      </c>
      <c r="AC135" s="36">
        <f t="shared" si="70"/>
        <v>2660078.3832544866</v>
      </c>
      <c r="AD135" s="36">
        <f t="shared" si="71"/>
        <v>2834869.0422890657</v>
      </c>
      <c r="AE135" s="36">
        <f t="shared" si="72"/>
        <v>1399822.8739513359</v>
      </c>
      <c r="AF135" s="36">
        <f t="shared" si="73"/>
        <v>3762581.6264790203</v>
      </c>
      <c r="AG135" s="36">
        <f t="shared" si="74"/>
        <v>6472136.4445975628</v>
      </c>
      <c r="AH135" s="36">
        <f t="shared" si="75"/>
        <v>23932738.892683718</v>
      </c>
      <c r="AI135" s="36">
        <f t="shared" si="76"/>
        <v>3309157.5549655748</v>
      </c>
      <c r="AJ135" s="36">
        <f t="shared" si="77"/>
        <v>6246028.571358826</v>
      </c>
      <c r="AK135" s="36">
        <f t="shared" si="78"/>
        <v>0</v>
      </c>
      <c r="AL135" s="36">
        <f t="shared" si="79"/>
        <v>59695847.919366367</v>
      </c>
      <c r="AM135" s="36">
        <f t="shared" si="80"/>
        <v>0</v>
      </c>
      <c r="AN135" s="36">
        <f t="shared" si="81"/>
        <v>2534444.0787815847</v>
      </c>
      <c r="AO135" s="36">
        <f t="shared" si="82"/>
        <v>1652453.0985790719</v>
      </c>
      <c r="AP135" s="36">
        <f t="shared" si="83"/>
        <v>0</v>
      </c>
      <c r="AQ135" s="36">
        <f t="shared" si="84"/>
        <v>21104809.539707903</v>
      </c>
      <c r="AR135" s="36">
        <f t="shared" si="85"/>
        <v>2950696.9425498671</v>
      </c>
      <c r="AS135" s="36">
        <f t="shared" si="86"/>
        <v>2497475.7173592015</v>
      </c>
      <c r="AT135" s="36">
        <f t="shared" si="87"/>
        <v>567583.50244419207</v>
      </c>
      <c r="AU135" s="36">
        <f t="shared" si="88"/>
        <v>3947583.5935418596</v>
      </c>
    </row>
    <row r="136" spans="1:47" ht="14.7" thickBot="1" x14ac:dyDescent="0.6">
      <c r="A136" s="72"/>
      <c r="B136" s="3" t="s">
        <v>39</v>
      </c>
      <c r="C136" s="65">
        <f t="shared" ref="C136:V136" si="103">IF($V11&gt;C$49,0,LOG10(MAX($T11/C$47,$W11/C$48)))</f>
        <v>0</v>
      </c>
      <c r="D136" s="65">
        <f t="shared" si="103"/>
        <v>0</v>
      </c>
      <c r="E136" s="65">
        <f t="shared" si="103"/>
        <v>0</v>
      </c>
      <c r="F136" s="65">
        <f t="shared" si="103"/>
        <v>0</v>
      </c>
      <c r="G136" s="65">
        <f t="shared" si="103"/>
        <v>0.84954225200501665</v>
      </c>
      <c r="H136" s="65">
        <f t="shared" si="103"/>
        <v>1.2774454840544975</v>
      </c>
      <c r="I136" s="65">
        <f t="shared" si="103"/>
        <v>1.5307834893806038</v>
      </c>
      <c r="J136" s="65">
        <f t="shared" si="103"/>
        <v>0</v>
      </c>
      <c r="K136" s="65">
        <f t="shared" si="103"/>
        <v>0</v>
      </c>
      <c r="L136" s="65">
        <f t="shared" si="103"/>
        <v>1.5137501500818236</v>
      </c>
      <c r="M136" s="65">
        <f t="shared" si="103"/>
        <v>0</v>
      </c>
      <c r="N136" s="65">
        <f t="shared" si="103"/>
        <v>0</v>
      </c>
      <c r="O136" s="65">
        <f t="shared" si="103"/>
        <v>0</v>
      </c>
      <c r="P136" s="65">
        <f t="shared" si="103"/>
        <v>1.1013542249988162</v>
      </c>
      <c r="Q136" s="65">
        <f t="shared" si="103"/>
        <v>0.91842354141282956</v>
      </c>
      <c r="R136" s="65">
        <f t="shared" si="103"/>
        <v>0</v>
      </c>
      <c r="S136" s="65">
        <f t="shared" si="103"/>
        <v>0</v>
      </c>
      <c r="T136" s="65">
        <f t="shared" si="103"/>
        <v>0</v>
      </c>
      <c r="U136" s="65">
        <f t="shared" si="103"/>
        <v>0</v>
      </c>
      <c r="V136" s="65">
        <f t="shared" si="103"/>
        <v>0.49415459401844281</v>
      </c>
      <c r="W136" s="65">
        <f t="shared" ref="W136" si="104">IF($V11&gt;W$49,0,LOG10(MAX($T11/W$47,$W11/W$48)))</f>
        <v>0</v>
      </c>
      <c r="Y136" s="143"/>
      <c r="Z136" t="s">
        <v>149</v>
      </c>
      <c r="AA136" s="36">
        <f t="shared" si="68"/>
        <v>0</v>
      </c>
      <c r="AB136" s="36">
        <f t="shared" si="69"/>
        <v>0</v>
      </c>
      <c r="AC136" s="36">
        <f t="shared" si="70"/>
        <v>0</v>
      </c>
      <c r="AD136" s="36">
        <f t="shared" si="71"/>
        <v>0</v>
      </c>
      <c r="AE136" s="36">
        <f t="shared" si="72"/>
        <v>0.19581674803868315</v>
      </c>
      <c r="AF136" s="36">
        <f t="shared" si="73"/>
        <v>11.572408446020376</v>
      </c>
      <c r="AG136" s="36">
        <f t="shared" si="74"/>
        <v>70.654152917198488</v>
      </c>
      <c r="AH136" s="36">
        <f t="shared" si="75"/>
        <v>0</v>
      </c>
      <c r="AI136" s="36">
        <f t="shared" si="76"/>
        <v>0</v>
      </c>
      <c r="AJ136" s="36">
        <f t="shared" si="77"/>
        <v>63.174526001931191</v>
      </c>
      <c r="AK136" s="36">
        <f t="shared" si="78"/>
        <v>0</v>
      </c>
      <c r="AL136" s="36">
        <f t="shared" si="79"/>
        <v>0</v>
      </c>
      <c r="AM136" s="36">
        <f t="shared" si="80"/>
        <v>0</v>
      </c>
      <c r="AN136" s="36">
        <f t="shared" si="81"/>
        <v>2.6258518623947951</v>
      </c>
      <c r="AO136" s="36">
        <f t="shared" si="82"/>
        <v>0.42700216020467879</v>
      </c>
      <c r="AP136" s="36">
        <f t="shared" si="83"/>
        <v>0</v>
      </c>
      <c r="AQ136" s="36">
        <f t="shared" si="84"/>
        <v>0</v>
      </c>
      <c r="AR136" s="36">
        <f t="shared" si="85"/>
        <v>0</v>
      </c>
      <c r="AS136" s="36">
        <f t="shared" si="86"/>
        <v>0</v>
      </c>
      <c r="AT136" s="36">
        <f t="shared" si="87"/>
        <v>8.6821717417537281E-4</v>
      </c>
      <c r="AU136" s="36">
        <f t="shared" si="88"/>
        <v>0</v>
      </c>
    </row>
    <row r="137" spans="1:47" ht="14.7" thickBot="1" x14ac:dyDescent="0.6">
      <c r="A137" s="72"/>
      <c r="B137" s="3" t="s">
        <v>40</v>
      </c>
      <c r="C137" s="65">
        <f t="shared" ref="C137:V137" si="105">IF($V12&gt;C$49,0,LOG10(MAX($T12/C$47,$W12/C$48)))</f>
        <v>-2.4662195787453074</v>
      </c>
      <c r="D137" s="65">
        <f t="shared" si="105"/>
        <v>-2.3354644561272653</v>
      </c>
      <c r="E137" s="65">
        <f t="shared" si="105"/>
        <v>-2.8153085691824011</v>
      </c>
      <c r="F137" s="65">
        <f t="shared" si="105"/>
        <v>-2.7872798455821575</v>
      </c>
      <c r="G137" s="65">
        <f t="shared" si="105"/>
        <v>-3.0883098412461387</v>
      </c>
      <c r="H137" s="65">
        <f t="shared" si="105"/>
        <v>-2.6604066091966581</v>
      </c>
      <c r="I137" s="65">
        <f t="shared" si="105"/>
        <v>-2.4070686038705515</v>
      </c>
      <c r="J137" s="65">
        <f t="shared" si="105"/>
        <v>-1.7366698522270705</v>
      </c>
      <c r="K137" s="65">
        <f t="shared" si="105"/>
        <v>-2.7183985561743449</v>
      </c>
      <c r="L137" s="65">
        <f t="shared" si="105"/>
        <v>-0.98520328014212089</v>
      </c>
      <c r="M137" s="65">
        <f t="shared" si="105"/>
        <v>0.28196844826089296</v>
      </c>
      <c r="N137" s="65">
        <f t="shared" si="105"/>
        <v>-0.41700155607512585</v>
      </c>
      <c r="O137" s="65">
        <f t="shared" si="105"/>
        <v>0.28196844826089296</v>
      </c>
      <c r="P137" s="65">
        <f t="shared" si="105"/>
        <v>-2.1774240394983377</v>
      </c>
      <c r="Q137" s="65">
        <f t="shared" si="105"/>
        <v>-2.5242115257229942</v>
      </c>
      <c r="R137" s="65">
        <f t="shared" si="105"/>
        <v>-0.37124406551445072</v>
      </c>
      <c r="S137" s="65">
        <f t="shared" si="105"/>
        <v>-1.8050086125425893</v>
      </c>
      <c r="T137" s="65">
        <f t="shared" si="105"/>
        <v>-2.7695510786217259</v>
      </c>
      <c r="U137" s="65">
        <f t="shared" si="105"/>
        <v>-2.8429129698549929</v>
      </c>
      <c r="V137" s="65">
        <f t="shared" si="105"/>
        <v>-3.4436974992327127</v>
      </c>
      <c r="W137" s="65">
        <f t="shared" ref="W137" si="106">IF($V12&gt;W$49,0,LOG10(MAX($T12/W$47,$W12/W$48)))</f>
        <v>-2.223181530059013</v>
      </c>
      <c r="Y137" s="143"/>
      <c r="Z137" t="s">
        <v>150</v>
      </c>
      <c r="AA137" s="36">
        <f t="shared" si="68"/>
        <v>8323.7190283342061</v>
      </c>
      <c r="AB137" s="36">
        <f t="shared" si="69"/>
        <v>4827.6149179546792</v>
      </c>
      <c r="AC137" s="36">
        <f t="shared" si="70"/>
        <v>31279.515842183671</v>
      </c>
      <c r="AD137" s="36">
        <f t="shared" si="71"/>
        <v>28301.258285800184</v>
      </c>
      <c r="AE137" s="36">
        <f t="shared" si="72"/>
        <v>78923.921084928254</v>
      </c>
      <c r="AF137" s="36">
        <f t="shared" si="73"/>
        <v>17761.522107389028</v>
      </c>
      <c r="AG137" s="36">
        <f t="shared" si="74"/>
        <v>6529.5715143803973</v>
      </c>
      <c r="AH137" s="36">
        <f t="shared" si="75"/>
        <v>249.5586640266483</v>
      </c>
      <c r="AI137" s="36">
        <f t="shared" si="76"/>
        <v>22035.926167501599</v>
      </c>
      <c r="AJ137" s="36">
        <f t="shared" si="77"/>
        <v>0.86150636631570576</v>
      </c>
      <c r="AK137" s="36">
        <f t="shared" si="78"/>
        <v>3.1769116922022474E-6</v>
      </c>
      <c r="AL137" s="36">
        <f t="shared" si="79"/>
        <v>1.5899254304168819E-4</v>
      </c>
      <c r="AM137" s="36">
        <f t="shared" si="80"/>
        <v>3.1769116922022474E-6</v>
      </c>
      <c r="AN137" s="36">
        <f t="shared" si="81"/>
        <v>2395.6873170262356</v>
      </c>
      <c r="AO137" s="36">
        <f t="shared" si="82"/>
        <v>10501.647926523887</v>
      </c>
      <c r="AP137" s="36">
        <f t="shared" si="83"/>
        <v>4.9727336723735151E-5</v>
      </c>
      <c r="AQ137" s="36">
        <f t="shared" si="84"/>
        <v>367.10710057164522</v>
      </c>
      <c r="AR137" s="36">
        <f t="shared" si="85"/>
        <v>26551.78924319892</v>
      </c>
      <c r="AS137" s="36">
        <f t="shared" si="86"/>
        <v>34485.430214512053</v>
      </c>
      <c r="AT137" s="36">
        <f t="shared" si="87"/>
        <v>234557.83925016437</v>
      </c>
      <c r="AU137" s="36">
        <f t="shared" si="88"/>
        <v>2949.5058178747122</v>
      </c>
    </row>
    <row r="138" spans="1:47" ht="14.7" thickBot="1" x14ac:dyDescent="0.6">
      <c r="A138" s="72"/>
      <c r="B138" t="s">
        <v>133</v>
      </c>
      <c r="C138" s="65">
        <f t="shared" ref="C138:V138" si="107">IF($V13&gt;C$49,0,LOG10(MAX($T13/C$47,$W13/C$48)))</f>
        <v>0</v>
      </c>
      <c r="D138" s="65">
        <f t="shared" si="107"/>
        <v>0</v>
      </c>
      <c r="E138" s="65">
        <f t="shared" si="107"/>
        <v>0</v>
      </c>
      <c r="F138" s="65">
        <f t="shared" si="107"/>
        <v>0</v>
      </c>
      <c r="G138" s="65">
        <f t="shared" si="107"/>
        <v>0</v>
      </c>
      <c r="H138" s="65">
        <f t="shared" si="107"/>
        <v>0</v>
      </c>
      <c r="I138" s="65">
        <f t="shared" si="107"/>
        <v>0</v>
      </c>
      <c r="J138" s="65">
        <f t="shared" si="107"/>
        <v>0</v>
      </c>
      <c r="K138" s="65">
        <f t="shared" si="107"/>
        <v>0</v>
      </c>
      <c r="L138" s="65">
        <f t="shared" si="107"/>
        <v>0</v>
      </c>
      <c r="M138" s="65">
        <f t="shared" si="107"/>
        <v>0</v>
      </c>
      <c r="N138" s="65">
        <f t="shared" si="107"/>
        <v>0</v>
      </c>
      <c r="O138" s="65">
        <f t="shared" si="107"/>
        <v>0</v>
      </c>
      <c r="P138" s="65">
        <f t="shared" si="107"/>
        <v>0</v>
      </c>
      <c r="Q138" s="65">
        <f t="shared" si="107"/>
        <v>0</v>
      </c>
      <c r="R138" s="65">
        <f t="shared" si="107"/>
        <v>0</v>
      </c>
      <c r="S138" s="65">
        <f t="shared" si="107"/>
        <v>0</v>
      </c>
      <c r="T138" s="65">
        <f t="shared" si="107"/>
        <v>0</v>
      </c>
      <c r="U138" s="65">
        <f t="shared" si="107"/>
        <v>0</v>
      </c>
      <c r="V138" s="65">
        <f t="shared" si="107"/>
        <v>0</v>
      </c>
      <c r="W138" s="65">
        <f t="shared" ref="W138" si="108">IF($V13&gt;W$49,0,LOG10(MAX($T13/W$47,$W13/W$48)))</f>
        <v>0</v>
      </c>
      <c r="Y138" s="143"/>
      <c r="Z138" t="s">
        <v>151</v>
      </c>
      <c r="AA138" s="36">
        <f t="shared" si="68"/>
        <v>0</v>
      </c>
      <c r="AB138" s="36">
        <f t="shared" si="69"/>
        <v>0</v>
      </c>
      <c r="AC138" s="36">
        <f t="shared" si="70"/>
        <v>0</v>
      </c>
      <c r="AD138" s="36">
        <f t="shared" si="71"/>
        <v>0</v>
      </c>
      <c r="AE138" s="36">
        <f t="shared" si="72"/>
        <v>0</v>
      </c>
      <c r="AF138" s="36">
        <f t="shared" si="73"/>
        <v>0</v>
      </c>
      <c r="AG138" s="36">
        <f t="shared" si="74"/>
        <v>0</v>
      </c>
      <c r="AH138" s="36">
        <f t="shared" si="75"/>
        <v>0</v>
      </c>
      <c r="AI138" s="36">
        <f t="shared" si="76"/>
        <v>0</v>
      </c>
      <c r="AJ138" s="36">
        <f t="shared" si="77"/>
        <v>0</v>
      </c>
      <c r="AK138" s="36">
        <f t="shared" si="78"/>
        <v>0</v>
      </c>
      <c r="AL138" s="36">
        <f t="shared" si="79"/>
        <v>0</v>
      </c>
      <c r="AM138" s="36">
        <f t="shared" si="80"/>
        <v>0</v>
      </c>
      <c r="AN138" s="36">
        <f t="shared" si="81"/>
        <v>0</v>
      </c>
      <c r="AO138" s="36">
        <f t="shared" si="82"/>
        <v>0</v>
      </c>
      <c r="AP138" s="36">
        <f t="shared" si="83"/>
        <v>0</v>
      </c>
      <c r="AQ138" s="36">
        <f t="shared" si="84"/>
        <v>0</v>
      </c>
      <c r="AR138" s="36">
        <f t="shared" si="85"/>
        <v>0</v>
      </c>
      <c r="AS138" s="36">
        <f t="shared" si="86"/>
        <v>0</v>
      </c>
      <c r="AT138" s="36">
        <f t="shared" si="87"/>
        <v>0</v>
      </c>
      <c r="AU138" s="36">
        <f t="shared" si="88"/>
        <v>0</v>
      </c>
    </row>
    <row r="139" spans="1:47" x14ac:dyDescent="0.55000000000000004">
      <c r="A139" s="72"/>
      <c r="B139" s="8" t="s">
        <v>42</v>
      </c>
      <c r="C139" s="65">
        <f t="shared" ref="C139:V139" si="109">IF($V14&gt;C$49,0,LOG10(MAX($T14/C$47,$W14/C$48)))</f>
        <v>0</v>
      </c>
      <c r="D139" s="65">
        <f t="shared" si="109"/>
        <v>5.3462200746234467</v>
      </c>
      <c r="E139" s="65">
        <f t="shared" si="109"/>
        <v>4.8663759615683109</v>
      </c>
      <c r="F139" s="65">
        <f t="shared" si="109"/>
        <v>4.8944046851685545</v>
      </c>
      <c r="G139" s="65">
        <f t="shared" si="109"/>
        <v>4.5933746895045733</v>
      </c>
      <c r="H139" s="65">
        <f t="shared" si="109"/>
        <v>5.0212779215540539</v>
      </c>
      <c r="I139" s="65">
        <f t="shared" si="109"/>
        <v>5.27461592688016</v>
      </c>
      <c r="J139" s="65">
        <f t="shared" si="109"/>
        <v>5.9450146785236413</v>
      </c>
      <c r="K139" s="65">
        <f t="shared" si="109"/>
        <v>4.9632859745763671</v>
      </c>
      <c r="L139" s="65">
        <f t="shared" si="109"/>
        <v>5.2575825875813802</v>
      </c>
      <c r="M139" s="65">
        <f t="shared" si="109"/>
        <v>0</v>
      </c>
      <c r="N139" s="65">
        <f t="shared" si="109"/>
        <v>6.4684359528962734</v>
      </c>
      <c r="O139" s="65">
        <f t="shared" si="109"/>
        <v>0</v>
      </c>
      <c r="P139" s="65">
        <f t="shared" si="109"/>
        <v>4.8451866624983726</v>
      </c>
      <c r="Q139" s="65">
        <f t="shared" si="109"/>
        <v>4.6622559789123859</v>
      </c>
      <c r="R139" s="65">
        <f t="shared" si="109"/>
        <v>0</v>
      </c>
      <c r="S139" s="65">
        <f t="shared" si="109"/>
        <v>5.8766759182081225</v>
      </c>
      <c r="T139" s="65">
        <f t="shared" si="109"/>
        <v>4.9121334521289857</v>
      </c>
      <c r="U139" s="65">
        <f t="shared" si="109"/>
        <v>4.8387715608957196</v>
      </c>
      <c r="V139" s="65">
        <f t="shared" si="109"/>
        <v>4.2379870315179993</v>
      </c>
      <c r="W139" s="65">
        <f t="shared" ref="W139" si="110">IF($V14&gt;W$49,0,LOG10(MAX($T14/W$47,$W14/W$48)))</f>
        <v>5.0431463364494791</v>
      </c>
      <c r="Y139" s="143"/>
      <c r="Z139" t="s">
        <v>152</v>
      </c>
      <c r="AA139" s="36">
        <f t="shared" si="68"/>
        <v>0</v>
      </c>
      <c r="AB139" s="36">
        <f t="shared" si="69"/>
        <v>19075165.872736294</v>
      </c>
      <c r="AC139" s="36">
        <f t="shared" si="70"/>
        <v>7448290.0712718144</v>
      </c>
      <c r="AD139" s="36">
        <f t="shared" si="71"/>
        <v>7888578.5380546283</v>
      </c>
      <c r="AE139" s="36">
        <f t="shared" si="72"/>
        <v>4181371.2626743536</v>
      </c>
      <c r="AF139" s="36">
        <f t="shared" si="73"/>
        <v>10189258.891329158</v>
      </c>
      <c r="AG139" s="36">
        <f t="shared" si="74"/>
        <v>16668956.68544542</v>
      </c>
      <c r="AH139" s="36">
        <f t="shared" si="75"/>
        <v>55147942.296433054</v>
      </c>
      <c r="AI139" s="36">
        <f t="shared" si="76"/>
        <v>9071790.0548742767</v>
      </c>
      <c r="AJ139" s="36">
        <f t="shared" si="77"/>
        <v>16138420.765008815</v>
      </c>
      <c r="AK139" s="36">
        <f t="shared" si="78"/>
        <v>0</v>
      </c>
      <c r="AL139" s="36">
        <f t="shared" si="79"/>
        <v>128230939.28699273</v>
      </c>
      <c r="AM139" s="36">
        <f t="shared" si="80"/>
        <v>0</v>
      </c>
      <c r="AN139" s="36">
        <f t="shared" si="81"/>
        <v>7130256.1279605934</v>
      </c>
      <c r="AO139" s="36">
        <f t="shared" si="82"/>
        <v>4852450.8558411142</v>
      </c>
      <c r="AP139" s="36">
        <f t="shared" si="83"/>
        <v>0</v>
      </c>
      <c r="AQ139" s="36">
        <f t="shared" si="84"/>
        <v>49126679.715095952</v>
      </c>
      <c r="AR139" s="36">
        <f t="shared" si="85"/>
        <v>8179025.6736845337</v>
      </c>
      <c r="AS139" s="36">
        <f t="shared" si="86"/>
        <v>7036410.9353073593</v>
      </c>
      <c r="AT139" s="36">
        <f t="shared" si="87"/>
        <v>1868943.7654393476</v>
      </c>
      <c r="AU139" s="36">
        <f t="shared" si="88"/>
        <v>10641814.936919581</v>
      </c>
    </row>
    <row r="142" spans="1:47" x14ac:dyDescent="0.55000000000000004">
      <c r="A142" s="143" t="s">
        <v>137</v>
      </c>
      <c r="B142" s="17" t="s">
        <v>138</v>
      </c>
      <c r="C142" s="68" t="str">
        <f>'Top Level Case Parameters'!B$34</f>
        <v>Virtex-5QV</v>
      </c>
      <c r="D142" s="69" t="str">
        <f>'Top Level Case Parameters'!C$34</f>
        <v>RTG4</v>
      </c>
      <c r="E142" s="69" t="str">
        <f>'Top Level Case Parameters'!D$34</f>
        <v>Polarfire</v>
      </c>
      <c r="F142" s="69" t="str">
        <f>'Top Level Case Parameters'!E$34</f>
        <v>Kintex-7Q</v>
      </c>
      <c r="G142" s="69" t="str">
        <f>'Top Level Case Parameters'!F$34</f>
        <v>Virtex-7Q</v>
      </c>
      <c r="H142" s="69" t="str">
        <f>'Top Level Case Parameters'!G$34</f>
        <v>RT Kintex Ultrascale</v>
      </c>
      <c r="I142" s="69" t="str">
        <f>'Top Level Case Parameters'!H$34</f>
        <v>NG-Ultra</v>
      </c>
      <c r="J142" s="69" t="str">
        <f>'Top Level Case Parameters'!I$34</f>
        <v>SmartFusion2</v>
      </c>
      <c r="K142" s="69" t="str">
        <f>'Top Level Case Parameters'!J$34</f>
        <v>Tegra X1</v>
      </c>
      <c r="L142" s="69" t="str">
        <f>'Top Level Case Parameters'!K$34</f>
        <v>RAD5545</v>
      </c>
      <c r="M142" s="69" t="str">
        <f>'Top Level Case Parameters'!L$34</f>
        <v>RAD750</v>
      </c>
      <c r="N142" s="69" t="str">
        <f>'Top Level Case Parameters'!M$34</f>
        <v>GR740</v>
      </c>
      <c r="O142" s="69" t="str">
        <f>'Top Level Case Parameters'!N$34</f>
        <v>GR712RC</v>
      </c>
      <c r="P142" s="69" t="str">
        <f>'Top Level Case Parameters'!O$34</f>
        <v>LS1046-Space</v>
      </c>
      <c r="Q142" s="69" t="str">
        <f>'Top Level Case Parameters'!P$34</f>
        <v>HPSC</v>
      </c>
      <c r="R142" s="69" t="str">
        <f>'Top Level Case Parameters'!Q$34</f>
        <v>E698PM</v>
      </c>
      <c r="S142" s="69" t="str">
        <f>'Top Level Case Parameters'!R$34</f>
        <v>RC64</v>
      </c>
      <c r="T142" s="69" t="str">
        <f>'Top Level Case Parameters'!S$34</f>
        <v>TI 66AK2Hxx</v>
      </c>
      <c r="U142" s="69" t="str">
        <f>'Top Level Case Parameters'!T$34</f>
        <v>SnapDragon 855</v>
      </c>
      <c r="V142" s="69" t="str">
        <f>'Top Level Case Parameters'!U$34</f>
        <v>XQR Versal</v>
      </c>
      <c r="W142" s="70" t="str">
        <f>'Top Level Case Parameters'!V$34</f>
        <v>HISAOR</v>
      </c>
    </row>
    <row r="143" spans="1:47" x14ac:dyDescent="0.55000000000000004">
      <c r="A143" s="143"/>
      <c r="B143" s="66" t="s">
        <v>26</v>
      </c>
      <c r="C143" s="101" t="str">
        <f>IF(AND(IF(C$52&lt;1,IF(C$52&gt;0,TRUE,FALSE),FALSE),IF(C$53&lt;1,IF(C$53&gt;0,TRUE,FALSE),FALSE),IF(C$54&lt;1,IF(C$54&gt;0,TRUE,FALSE),FALSE),IF(C$55&lt;1,IF(C$55&gt;0,TRUE,FALSE),FALSE),IF(C$56&lt;1,IF(C$56&gt;0,TRUE,FALSE),FALSE)),"PASS","FAIL")</f>
        <v>FAIL</v>
      </c>
      <c r="D143" s="101" t="str">
        <f t="shared" ref="D143:W143" si="111">IF(AND(IF(D$52&lt;1,IF(D$52&gt;0,TRUE,FALSE),FALSE),IF(D$53&lt;1,IF(D$53&gt;0,TRUE,FALSE),FALSE),IF(D$54&lt;1,IF(D$54&gt;0,TRUE,FALSE),FALSE),IF(D$55&lt;1,IF(D$55&gt;0,TRUE,FALSE),FALSE),IF(D$56&lt;1,IF(D$56&gt;0,TRUE,FALSE),FALSE)),"PASS","FAIL")</f>
        <v>FAIL</v>
      </c>
      <c r="E143" s="101" t="str">
        <f t="shared" si="111"/>
        <v>FAIL</v>
      </c>
      <c r="F143" s="101" t="str">
        <f t="shared" si="111"/>
        <v>FAIL</v>
      </c>
      <c r="G143" s="101" t="str">
        <f t="shared" si="111"/>
        <v>PASS</v>
      </c>
      <c r="H143" s="101" t="str">
        <f t="shared" si="111"/>
        <v>FAIL</v>
      </c>
      <c r="I143" s="101" t="str">
        <f t="shared" si="111"/>
        <v>FAIL</v>
      </c>
      <c r="J143" s="101" t="str">
        <f t="shared" si="111"/>
        <v>FAIL</v>
      </c>
      <c r="K143" s="101" t="str">
        <f t="shared" si="111"/>
        <v>FAIL</v>
      </c>
      <c r="L143" s="101" t="str">
        <f t="shared" si="111"/>
        <v>FAIL</v>
      </c>
      <c r="M143" s="101" t="str">
        <f t="shared" si="111"/>
        <v>FAIL</v>
      </c>
      <c r="N143" s="101" t="str">
        <f t="shared" si="111"/>
        <v>FAIL</v>
      </c>
      <c r="O143" s="101" t="str">
        <f t="shared" si="111"/>
        <v>FAIL</v>
      </c>
      <c r="P143" s="101" t="str">
        <f t="shared" si="111"/>
        <v>FAIL</v>
      </c>
      <c r="Q143" s="101" t="str">
        <f t="shared" si="111"/>
        <v>FAIL</v>
      </c>
      <c r="R143" s="101" t="str">
        <f t="shared" si="111"/>
        <v>FAIL</v>
      </c>
      <c r="S143" s="101" t="str">
        <f t="shared" si="111"/>
        <v>FAIL</v>
      </c>
      <c r="T143" s="101" t="str">
        <f t="shared" si="111"/>
        <v>FAIL</v>
      </c>
      <c r="U143" s="101" t="str">
        <f t="shared" si="111"/>
        <v>FAIL</v>
      </c>
      <c r="V143" s="101" t="str">
        <f t="shared" si="111"/>
        <v>PASS</v>
      </c>
      <c r="W143" s="101" t="str">
        <f t="shared" si="111"/>
        <v>FAIL</v>
      </c>
    </row>
    <row r="144" spans="1:47" x14ac:dyDescent="0.55000000000000004">
      <c r="A144" s="143"/>
      <c r="B144" s="74" t="s">
        <v>141</v>
      </c>
      <c r="C144" s="101" t="str">
        <f>IF(AND(IF(C$67&lt;1,IF(C$67&gt;0,TRUE,FALSE),FALSE),IF(C$68&lt;1,IF(C$68&gt;0,TRUE,FALSE),FALSE),IF(C$69&lt;1,IF(C$69&gt;0,TRUE,FALSE),FALSE),IF(C$70&lt;1,IF(C$70&gt;0,TRUE,FALSE),FALSE),IF(C$71&lt;1,IF(C$71&gt;0,TRUE,FALSE),FALSE)),"PASS","FAIL")</f>
        <v>FAIL</v>
      </c>
      <c r="D144" s="101" t="str">
        <f t="shared" ref="D144:W144" si="112">IF(AND(IF(D$67&lt;1,IF(D$67&gt;0,TRUE,FALSE),FALSE),IF(D$68&lt;1,IF(D$68&gt;0,TRUE,FALSE),FALSE),IF(D$69&lt;1,IF(D$69&gt;0,TRUE,FALSE),FALSE),IF(D$70&lt;1,IF(D$70&gt;0,TRUE,FALSE),FALSE),IF(D$71&lt;1,IF(D$71&gt;0,TRUE,FALSE),FALSE)),"PASS","FAIL")</f>
        <v>FAIL</v>
      </c>
      <c r="E144" s="101" t="str">
        <f t="shared" si="112"/>
        <v>FAIL</v>
      </c>
      <c r="F144" s="101" t="str">
        <f t="shared" si="112"/>
        <v>FAIL</v>
      </c>
      <c r="G144" s="101" t="str">
        <f t="shared" si="112"/>
        <v>FAIL</v>
      </c>
      <c r="H144" s="101" t="str">
        <f t="shared" si="112"/>
        <v>FAIL</v>
      </c>
      <c r="I144" s="101" t="str">
        <f t="shared" si="112"/>
        <v>FAIL</v>
      </c>
      <c r="J144" s="101" t="str">
        <f t="shared" si="112"/>
        <v>FAIL</v>
      </c>
      <c r="K144" s="101" t="str">
        <f t="shared" si="112"/>
        <v>FAIL</v>
      </c>
      <c r="L144" s="101" t="str">
        <f t="shared" si="112"/>
        <v>FAIL</v>
      </c>
      <c r="M144" s="101" t="str">
        <f t="shared" si="112"/>
        <v>FAIL</v>
      </c>
      <c r="N144" s="101" t="str">
        <f t="shared" si="112"/>
        <v>FAIL</v>
      </c>
      <c r="O144" s="101" t="str">
        <f t="shared" si="112"/>
        <v>FAIL</v>
      </c>
      <c r="P144" s="101" t="str">
        <f t="shared" si="112"/>
        <v>FAIL</v>
      </c>
      <c r="Q144" s="101" t="str">
        <f t="shared" si="112"/>
        <v>FAIL</v>
      </c>
      <c r="R144" s="101" t="str">
        <f t="shared" si="112"/>
        <v>FAIL</v>
      </c>
      <c r="S144" s="101" t="str">
        <f t="shared" si="112"/>
        <v>FAIL</v>
      </c>
      <c r="T144" s="101" t="str">
        <f t="shared" si="112"/>
        <v>FAIL</v>
      </c>
      <c r="U144" s="101" t="str">
        <f t="shared" si="112"/>
        <v>FAIL</v>
      </c>
      <c r="V144" s="101" t="str">
        <f t="shared" si="112"/>
        <v>FAIL</v>
      </c>
      <c r="W144" s="101" t="str">
        <f t="shared" si="112"/>
        <v>FAIL</v>
      </c>
    </row>
    <row r="145" spans="1:23" x14ac:dyDescent="0.55000000000000004">
      <c r="A145" s="143"/>
      <c r="B145" s="67" t="s">
        <v>139</v>
      </c>
      <c r="C145" s="101" t="str">
        <f t="shared" ref="C145:W145" si="113">IF(AND(IF(C$128&lt;1,IF(C$128&gt;0,TRUE,FALSE),FALSE),IF(C$129&lt;1,IF(C$129&gt;0,TRUE,FALSE),FALSE),IF(C$130&lt;1,IF(C$130&gt;0,TRUE,FALSE),FALSE),IF(C$131&lt;1,IF(C$131&gt;0,TRUE,FALSE),FALSE),IF(C$132&lt;1,IF(C$132&gt;0,TRUE,FALSE),FALSE)),"PASS","FAIL")</f>
        <v>FAIL</v>
      </c>
      <c r="D145" s="101" t="str">
        <f t="shared" si="113"/>
        <v>FAIL</v>
      </c>
      <c r="E145" s="101" t="str">
        <f t="shared" si="113"/>
        <v>FAIL</v>
      </c>
      <c r="F145" s="101" t="str">
        <f t="shared" si="113"/>
        <v>FAIL</v>
      </c>
      <c r="G145" s="101" t="str">
        <f t="shared" si="113"/>
        <v>FAIL</v>
      </c>
      <c r="H145" s="101" t="str">
        <f t="shared" si="113"/>
        <v>FAIL</v>
      </c>
      <c r="I145" s="101" t="str">
        <f t="shared" si="113"/>
        <v>FAIL</v>
      </c>
      <c r="J145" s="101" t="str">
        <f t="shared" si="113"/>
        <v>FAIL</v>
      </c>
      <c r="K145" s="101" t="str">
        <f t="shared" si="113"/>
        <v>FAIL</v>
      </c>
      <c r="L145" s="101" t="str">
        <f t="shared" si="113"/>
        <v>FAIL</v>
      </c>
      <c r="M145" s="101" t="str">
        <f t="shared" si="113"/>
        <v>FAIL</v>
      </c>
      <c r="N145" s="101" t="str">
        <f t="shared" si="113"/>
        <v>FAIL</v>
      </c>
      <c r="O145" s="101" t="str">
        <f t="shared" si="113"/>
        <v>FAIL</v>
      </c>
      <c r="P145" s="101" t="str">
        <f t="shared" si="113"/>
        <v>FAIL</v>
      </c>
      <c r="Q145" s="101" t="str">
        <f t="shared" si="113"/>
        <v>FAIL</v>
      </c>
      <c r="R145" s="101" t="str">
        <f t="shared" si="113"/>
        <v>FAIL</v>
      </c>
      <c r="S145" s="101" t="str">
        <f t="shared" si="113"/>
        <v>FAIL</v>
      </c>
      <c r="T145" s="101" t="str">
        <f t="shared" si="113"/>
        <v>FAIL</v>
      </c>
      <c r="U145" s="101" t="str">
        <f t="shared" si="113"/>
        <v>FAIL</v>
      </c>
      <c r="V145" s="101" t="str">
        <f t="shared" si="113"/>
        <v>FAIL</v>
      </c>
      <c r="W145" s="101" t="str">
        <f t="shared" si="113"/>
        <v>FAIL</v>
      </c>
    </row>
  </sheetData>
  <mergeCells count="18">
    <mergeCell ref="Y96:Y139"/>
    <mergeCell ref="Z96:AU96"/>
    <mergeCell ref="Z111:AU111"/>
    <mergeCell ref="Z126:AU126"/>
    <mergeCell ref="L1:AA1"/>
    <mergeCell ref="B50:W50"/>
    <mergeCell ref="L31:AA31"/>
    <mergeCell ref="A46:AA46"/>
    <mergeCell ref="A1:J1"/>
    <mergeCell ref="A22:C22"/>
    <mergeCell ref="A30:C30"/>
    <mergeCell ref="A142:A145"/>
    <mergeCell ref="B80:W80"/>
    <mergeCell ref="B65:W65"/>
    <mergeCell ref="A50:A93"/>
    <mergeCell ref="B111:W111"/>
    <mergeCell ref="B96:W96"/>
    <mergeCell ref="B126:W126"/>
  </mergeCells>
  <conditionalFormatting sqref="C52:W64">
    <cfRule type="cellIs" dxfId="7" priority="25" stopIfTrue="1" operator="equal">
      <formula>0</formula>
    </cfRule>
    <cfRule type="colorScale" priority="26">
      <colorScale>
        <cfvo type="min"/>
        <cfvo type="num" val="1"/>
        <cfvo type="num" val="2"/>
        <color rgb="FF0099CC"/>
        <color theme="0"/>
        <color rgb="FFFA9500"/>
      </colorScale>
    </cfRule>
  </conditionalFormatting>
  <conditionalFormatting sqref="C67:W78">
    <cfRule type="cellIs" dxfId="6" priority="5" stopIfTrue="1" operator="equal">
      <formula>0</formula>
    </cfRule>
    <cfRule type="colorScale" priority="6">
      <colorScale>
        <cfvo type="min"/>
        <cfvo type="num" val="1"/>
        <cfvo type="num" val="2"/>
        <color rgb="FF0099CC"/>
        <color theme="0"/>
        <color rgb="FFFA9500"/>
      </colorScale>
    </cfRule>
  </conditionalFormatting>
  <conditionalFormatting sqref="C82:W93">
    <cfRule type="cellIs" dxfId="5" priority="21" stopIfTrue="1" operator="equal">
      <formula>0</formula>
    </cfRule>
    <cfRule type="colorScale" priority="22">
      <colorScale>
        <cfvo type="min"/>
        <cfvo type="num" val="1"/>
        <cfvo type="num" val="2"/>
        <color rgb="FF0099CC"/>
        <color theme="0"/>
        <color rgb="FFFA9500"/>
      </colorScale>
    </cfRule>
  </conditionalFormatting>
  <conditionalFormatting sqref="C98:W109">
    <cfRule type="cellIs" dxfId="4" priority="15" stopIfTrue="1" operator="equal">
      <formula>0</formula>
    </cfRule>
    <cfRule type="colorScale" priority="16">
      <colorScale>
        <cfvo type="min"/>
        <cfvo type="num" val="1"/>
        <cfvo type="max"/>
        <color theme="0"/>
        <color rgb="FFFFEB84"/>
        <color rgb="FFC00000"/>
      </colorScale>
    </cfRule>
  </conditionalFormatting>
  <conditionalFormatting sqref="C113:W124">
    <cfRule type="cellIs" dxfId="3" priority="1" stopIfTrue="1" operator="equal">
      <formula>0</formula>
    </cfRule>
    <cfRule type="colorScale" priority="2">
      <colorScale>
        <cfvo type="min"/>
        <cfvo type="num" val="1"/>
        <cfvo type="max"/>
        <color theme="0"/>
        <color rgb="FFFFEB84"/>
        <color rgb="FFC00000"/>
      </colorScale>
    </cfRule>
  </conditionalFormatting>
  <conditionalFormatting sqref="C128:W139">
    <cfRule type="cellIs" dxfId="2" priority="11" stopIfTrue="1" operator="equal">
      <formula>0</formula>
    </cfRule>
    <cfRule type="colorScale" priority="12">
      <colorScale>
        <cfvo type="min"/>
        <cfvo type="num" val="1"/>
        <cfvo type="max"/>
        <color theme="0"/>
        <color rgb="FFFFEB84"/>
        <color rgb="FFC00000"/>
      </colorScale>
    </cfRule>
  </conditionalFormatting>
  <conditionalFormatting sqref="C143:W145">
    <cfRule type="cellIs" dxfId="1" priority="9" operator="equal">
      <formula>"PASS"</formula>
    </cfRule>
    <cfRule type="cellIs" dxfId="0" priority="10" operator="equal">
      <formula>"FAIL"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1184E-E5FA-4AD4-A26E-45D34AC93424}">
  <dimension ref="A1:BD146"/>
  <sheetViews>
    <sheetView workbookViewId="0">
      <pane xSplit="1" ySplit="3" topLeftCell="J4" activePane="bottomRight" state="frozen"/>
      <selection activeCell="C5" sqref="C5"/>
      <selection pane="topRight" activeCell="C5" sqref="C5"/>
      <selection pane="bottomLeft" activeCell="C5" sqref="C5"/>
      <selection pane="bottomRight" activeCell="C5" sqref="C5"/>
    </sheetView>
  </sheetViews>
  <sheetFormatPr defaultRowHeight="14.4" x14ac:dyDescent="0.55000000000000004"/>
  <cols>
    <col min="1" max="1" width="42.05078125" bestFit="1" customWidth="1"/>
    <col min="2" max="2" width="10.83984375" customWidth="1"/>
    <col min="3" max="3" width="11.3671875" customWidth="1"/>
    <col min="4" max="5" width="12.1015625" customWidth="1"/>
    <col min="14" max="14" width="11.68359375" bestFit="1" customWidth="1"/>
    <col min="18" max="18" width="11.68359375" bestFit="1" customWidth="1"/>
    <col min="24" max="24" width="11.68359375" bestFit="1" customWidth="1"/>
  </cols>
  <sheetData>
    <row r="1" spans="1:56" x14ac:dyDescent="0.55000000000000004">
      <c r="A1" s="142" t="s">
        <v>105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75"/>
      <c r="Y1" s="137" t="s">
        <v>26</v>
      </c>
      <c r="Z1" s="137"/>
      <c r="AA1" s="137"/>
      <c r="AB1" s="137"/>
      <c r="AC1" s="137"/>
      <c r="AD1" s="137"/>
      <c r="AE1" s="137"/>
      <c r="AF1" s="137"/>
      <c r="AG1" s="137"/>
      <c r="AH1" s="137"/>
      <c r="AI1" s="92"/>
      <c r="AJ1" s="137" t="s">
        <v>141</v>
      </c>
      <c r="AK1" s="137"/>
      <c r="AL1" s="137"/>
      <c r="AM1" s="137"/>
      <c r="AN1" s="137"/>
      <c r="AO1" s="137"/>
      <c r="AP1" s="137"/>
      <c r="AQ1" s="137"/>
      <c r="AR1" s="137"/>
      <c r="AS1" s="137"/>
      <c r="AU1" s="137" t="s">
        <v>139</v>
      </c>
      <c r="AV1" s="137"/>
      <c r="AW1" s="137"/>
      <c r="AX1" s="137"/>
      <c r="AY1" s="137"/>
      <c r="AZ1" s="137"/>
      <c r="BA1" s="137"/>
      <c r="BB1" s="137"/>
      <c r="BC1" s="137"/>
      <c r="BD1" s="137"/>
    </row>
    <row r="2" spans="1:56" x14ac:dyDescent="0.55000000000000004">
      <c r="A2" s="75"/>
      <c r="B2" s="130" t="s">
        <v>156</v>
      </c>
      <c r="C2" s="130"/>
      <c r="D2" s="130"/>
      <c r="E2" s="130"/>
      <c r="F2" s="130"/>
      <c r="G2" s="130"/>
      <c r="H2" s="145" t="s">
        <v>157</v>
      </c>
      <c r="I2" s="145"/>
      <c r="J2" s="145"/>
      <c r="K2" s="145"/>
      <c r="L2" s="145"/>
      <c r="M2" s="130" t="s">
        <v>161</v>
      </c>
      <c r="N2" s="130"/>
      <c r="O2" s="130"/>
      <c r="P2" s="130"/>
      <c r="Q2" s="130"/>
      <c r="R2" s="145" t="s">
        <v>162</v>
      </c>
      <c r="S2" s="145"/>
      <c r="T2" s="145"/>
      <c r="U2" s="145"/>
      <c r="V2" s="145"/>
      <c r="W2" s="91" t="s">
        <v>159</v>
      </c>
      <c r="X2" s="14"/>
      <c r="Y2" s="130" t="s">
        <v>156</v>
      </c>
      <c r="Z2" s="130"/>
      <c r="AA2" s="130"/>
      <c r="AB2" s="130"/>
      <c r="AC2" s="130"/>
      <c r="AD2" s="145" t="s">
        <v>157</v>
      </c>
      <c r="AE2" s="145"/>
      <c r="AF2" s="145"/>
      <c r="AG2" s="145"/>
      <c r="AH2" s="145"/>
      <c r="AI2" s="92"/>
      <c r="AJ2" s="130" t="s">
        <v>156</v>
      </c>
      <c r="AK2" s="130"/>
      <c r="AL2" s="130"/>
      <c r="AM2" s="130"/>
      <c r="AN2" s="130"/>
      <c r="AO2" s="145" t="s">
        <v>157</v>
      </c>
      <c r="AP2" s="145"/>
      <c r="AQ2" s="145"/>
      <c r="AR2" s="145"/>
      <c r="AS2" s="145"/>
      <c r="AU2" s="130" t="s">
        <v>156</v>
      </c>
      <c r="AV2" s="130"/>
      <c r="AW2" s="130"/>
      <c r="AX2" s="130"/>
      <c r="AY2" s="130"/>
      <c r="AZ2" s="145" t="s">
        <v>157</v>
      </c>
      <c r="BA2" s="145"/>
      <c r="BB2" s="145"/>
      <c r="BC2" s="145"/>
      <c r="BD2" s="145"/>
    </row>
    <row r="3" spans="1:56" x14ac:dyDescent="0.55000000000000004">
      <c r="A3" s="49" t="s">
        <v>106</v>
      </c>
      <c r="B3" s="82" t="s">
        <v>45</v>
      </c>
      <c r="C3" s="79" t="s">
        <v>52</v>
      </c>
      <c r="D3" s="79" t="s">
        <v>53</v>
      </c>
      <c r="E3" s="79"/>
      <c r="F3" s="79" t="s">
        <v>54</v>
      </c>
      <c r="G3" s="80" t="s">
        <v>55</v>
      </c>
      <c r="H3" s="82" t="s">
        <v>45</v>
      </c>
      <c r="I3" s="79" t="s">
        <v>52</v>
      </c>
      <c r="J3" s="79" t="s">
        <v>53</v>
      </c>
      <c r="K3" s="79" t="s">
        <v>54</v>
      </c>
      <c r="L3" s="80" t="s">
        <v>55</v>
      </c>
      <c r="M3" t="str">
        <f>B3</f>
        <v>GEMM</v>
      </c>
      <c r="N3" t="str">
        <f>C3</f>
        <v>GEMV</v>
      </c>
      <c r="O3" t="str">
        <f>D3</f>
        <v>Gram</v>
      </c>
      <c r="P3" t="str">
        <f t="shared" ref="P3:V3" si="0">F3</f>
        <v>QR</v>
      </c>
      <c r="Q3" t="str">
        <f t="shared" si="0"/>
        <v>2D FFT</v>
      </c>
      <c r="R3" t="str">
        <f t="shared" si="0"/>
        <v>GEMM</v>
      </c>
      <c r="S3" t="str">
        <f t="shared" si="0"/>
        <v>GEMV</v>
      </c>
      <c r="T3" t="str">
        <f t="shared" si="0"/>
        <v>Gram</v>
      </c>
      <c r="U3" t="str">
        <f t="shared" si="0"/>
        <v>QR</v>
      </c>
      <c r="V3" t="str">
        <f t="shared" si="0"/>
        <v>2D FFT</v>
      </c>
      <c r="W3" t="s">
        <v>160</v>
      </c>
      <c r="Y3" s="82" t="s">
        <v>45</v>
      </c>
      <c r="Z3" s="79" t="s">
        <v>52</v>
      </c>
      <c r="AA3" s="79" t="s">
        <v>53</v>
      </c>
      <c r="AB3" s="79" t="s">
        <v>54</v>
      </c>
      <c r="AC3" s="80" t="s">
        <v>55</v>
      </c>
      <c r="AD3" s="82" t="s">
        <v>45</v>
      </c>
      <c r="AE3" s="79" t="s">
        <v>52</v>
      </c>
      <c r="AF3" s="79" t="s">
        <v>53</v>
      </c>
      <c r="AG3" s="79" t="s">
        <v>54</v>
      </c>
      <c r="AH3" s="79" t="s">
        <v>55</v>
      </c>
      <c r="AI3" s="11"/>
      <c r="AJ3" s="82" t="s">
        <v>45</v>
      </c>
      <c r="AK3" s="79" t="s">
        <v>52</v>
      </c>
      <c r="AL3" s="79" t="s">
        <v>53</v>
      </c>
      <c r="AM3" s="79" t="s">
        <v>54</v>
      </c>
      <c r="AN3" s="80" t="s">
        <v>55</v>
      </c>
      <c r="AO3" s="82" t="s">
        <v>45</v>
      </c>
      <c r="AP3" s="79" t="s">
        <v>52</v>
      </c>
      <c r="AQ3" s="79" t="s">
        <v>53</v>
      </c>
      <c r="AR3" s="79" t="s">
        <v>54</v>
      </c>
      <c r="AS3" s="79" t="s">
        <v>55</v>
      </c>
      <c r="AU3" s="82" t="s">
        <v>45</v>
      </c>
      <c r="AV3" s="79" t="s">
        <v>52</v>
      </c>
      <c r="AW3" s="79" t="s">
        <v>53</v>
      </c>
      <c r="AX3" s="79" t="s">
        <v>54</v>
      </c>
      <c r="AY3" s="80" t="s">
        <v>55</v>
      </c>
      <c r="AZ3" s="82" t="s">
        <v>45</v>
      </c>
      <c r="BA3" s="79" t="s">
        <v>52</v>
      </c>
      <c r="BB3" s="79" t="s">
        <v>53</v>
      </c>
      <c r="BC3" s="79" t="s">
        <v>54</v>
      </c>
      <c r="BD3" s="79" t="s">
        <v>55</v>
      </c>
    </row>
    <row r="4" spans="1:56" x14ac:dyDescent="0.55000000000000004">
      <c r="A4" s="5" t="s">
        <v>31</v>
      </c>
      <c r="B4" s="83">
        <f>0.5*B27^3</f>
        <v>4294967296</v>
      </c>
      <c r="C4" s="56"/>
      <c r="D4" s="56"/>
      <c r="E4" s="56"/>
      <c r="F4" s="55"/>
      <c r="G4" s="81">
        <f>(2*B27)^2*LOG(2*B27,2)</f>
        <v>201326592</v>
      </c>
      <c r="H4" s="84">
        <f>6*B25*B24</f>
        <v>840000</v>
      </c>
      <c r="I4" s="55"/>
      <c r="J4" s="3"/>
      <c r="K4" s="3"/>
      <c r="L4" s="4">
        <f>4*B25*B24</f>
        <v>560000</v>
      </c>
      <c r="M4" s="36">
        <f>B4/B$35</f>
        <v>14.221746013245033</v>
      </c>
      <c r="N4" s="36">
        <f>C4/C$35</f>
        <v>0</v>
      </c>
      <c r="O4" s="36">
        <f>D4/D$35</f>
        <v>0</v>
      </c>
      <c r="P4" s="36">
        <f t="shared" ref="P4:P14" si="1">F4/E$35</f>
        <v>0</v>
      </c>
      <c r="Q4" s="36">
        <f t="shared" ref="Q4:Q14" si="2">G4/F$35</f>
        <v>10.271764897959184</v>
      </c>
      <c r="R4" s="84">
        <f>H4*M4</f>
        <v>11946266.651125828</v>
      </c>
      <c r="S4" s="55">
        <f t="shared" ref="S4:V4" si="3">I4*N4</f>
        <v>0</v>
      </c>
      <c r="T4" s="55">
        <f t="shared" si="3"/>
        <v>0</v>
      </c>
      <c r="U4" s="55">
        <f t="shared" si="3"/>
        <v>0</v>
      </c>
      <c r="V4" s="81">
        <f t="shared" si="3"/>
        <v>5752188.3428571429</v>
      </c>
      <c r="W4" s="36">
        <f>SUM(R4:V4)</f>
        <v>17698454.993982971</v>
      </c>
      <c r="X4" s="36"/>
      <c r="Y4" s="83">
        <f>0.5*Y27^3</f>
        <v>536870912</v>
      </c>
      <c r="Z4" s="56"/>
      <c r="AA4" s="56"/>
      <c r="AB4" s="55"/>
      <c r="AC4" s="81">
        <f>(2*Y27)^2*LOG(2*Y27,2)</f>
        <v>46137344</v>
      </c>
      <c r="AD4" s="84">
        <f>6*Y25*Y24</f>
        <v>192000</v>
      </c>
      <c r="AE4" s="55"/>
      <c r="AF4" s="3"/>
      <c r="AG4" s="3"/>
      <c r="AH4" s="4">
        <f>4*Y25*Y24</f>
        <v>128000</v>
      </c>
      <c r="AI4" s="56"/>
      <c r="AJ4" s="83">
        <f>0.5*AJ27^3</f>
        <v>4294967296</v>
      </c>
      <c r="AK4" s="56"/>
      <c r="AL4" s="56"/>
      <c r="AM4" s="55"/>
      <c r="AN4" s="81">
        <f>(2*AJ27)^2*LOG(2*AJ27,2)</f>
        <v>201326592</v>
      </c>
      <c r="AO4" s="84">
        <f>6*AJ25*AJ24</f>
        <v>840000</v>
      </c>
      <c r="AP4" s="55"/>
      <c r="AQ4" s="3"/>
      <c r="AR4" s="3"/>
      <c r="AS4" s="4">
        <f>4*AJ25*AJ24</f>
        <v>560000</v>
      </c>
      <c r="AU4" s="83">
        <f>0.5*AU27^3</f>
        <v>34359738368</v>
      </c>
      <c r="AV4" s="56"/>
      <c r="AW4" s="56"/>
      <c r="AX4" s="55"/>
      <c r="AY4" s="81">
        <f>(2*AU27)^2*LOG(2*AU27,2)</f>
        <v>872415232</v>
      </c>
      <c r="AZ4" s="84">
        <f>6*AU25*AU24</f>
        <v>3120000</v>
      </c>
      <c r="BA4" s="55"/>
      <c r="BB4" s="3"/>
      <c r="BC4" s="3"/>
      <c r="BD4" s="4">
        <f>4*AU25*AU24</f>
        <v>2080000</v>
      </c>
    </row>
    <row r="5" spans="1:56" x14ac:dyDescent="0.55000000000000004">
      <c r="A5" s="3" t="s">
        <v>32</v>
      </c>
      <c r="B5" s="83"/>
      <c r="C5" s="56"/>
      <c r="D5" s="56">
        <f>2*B25*B23*B24^2</f>
        <v>101920000000000</v>
      </c>
      <c r="E5" s="56"/>
      <c r="F5" s="55"/>
      <c r="G5" s="81"/>
      <c r="H5" s="84"/>
      <c r="I5" s="55"/>
      <c r="J5" s="3">
        <v>1</v>
      </c>
      <c r="K5" s="3"/>
      <c r="L5" s="4"/>
      <c r="M5" s="36">
        <f t="shared" ref="M5:M14" si="4">B5/B$35</f>
        <v>0</v>
      </c>
      <c r="N5" s="36">
        <f t="shared" ref="N5:N14" si="5">C5/C$35</f>
        <v>0</v>
      </c>
      <c r="O5" s="36">
        <f t="shared" ref="O5:O14" si="6">D5/D$35</f>
        <v>163858.52090032154</v>
      </c>
      <c r="P5" s="36">
        <f t="shared" si="1"/>
        <v>0</v>
      </c>
      <c r="Q5" s="36">
        <f t="shared" si="2"/>
        <v>0</v>
      </c>
      <c r="R5" s="84">
        <f t="shared" ref="R5:R14" si="7">H5*M5</f>
        <v>0</v>
      </c>
      <c r="S5" s="55">
        <f t="shared" ref="S5:S14" si="8">I5*N5</f>
        <v>0</v>
      </c>
      <c r="T5" s="55">
        <f t="shared" ref="T5:T14" si="9">J5*O5</f>
        <v>163858.52090032154</v>
      </c>
      <c r="U5" s="55">
        <f t="shared" ref="U5:U14" si="10">K5*P5</f>
        <v>0</v>
      </c>
      <c r="V5" s="81">
        <f t="shared" ref="V5:V14" si="11">L5*Q5</f>
        <v>0</v>
      </c>
      <c r="W5" s="36">
        <f t="shared" ref="W5:W14" si="12">SUM(R5:V5)</f>
        <v>163858.52090032154</v>
      </c>
      <c r="X5" s="36"/>
      <c r="Y5" s="83"/>
      <c r="Z5" s="56"/>
      <c r="AA5" s="56">
        <f>2*Y25*Y23*Y24^2</f>
        <v>5324800000000</v>
      </c>
      <c r="AB5" s="55"/>
      <c r="AC5" s="81"/>
      <c r="AD5" s="84"/>
      <c r="AE5" s="55"/>
      <c r="AF5" s="3">
        <v>1</v>
      </c>
      <c r="AG5" s="3"/>
      <c r="AH5" s="4"/>
      <c r="AI5" s="56"/>
      <c r="AJ5" s="83"/>
      <c r="AK5" s="56"/>
      <c r="AL5" s="56">
        <f>2*AJ25*AJ23*AJ24^2</f>
        <v>101920000000000</v>
      </c>
      <c r="AM5" s="55"/>
      <c r="AN5" s="81"/>
      <c r="AO5" s="84"/>
      <c r="AP5" s="55"/>
      <c r="AQ5" s="3">
        <v>1</v>
      </c>
      <c r="AR5" s="3"/>
      <c r="AS5" s="4"/>
      <c r="AU5" s="83"/>
      <c r="AV5" s="56"/>
      <c r="AW5" s="56">
        <f>2*AU25*AU23*AU24^2</f>
        <v>1379040000000000</v>
      </c>
      <c r="AX5" s="55"/>
      <c r="AY5" s="81"/>
      <c r="AZ5" s="84"/>
      <c r="BA5" s="55"/>
      <c r="BB5" s="3">
        <v>1</v>
      </c>
      <c r="BC5" s="3"/>
      <c r="BD5" s="4"/>
    </row>
    <row r="6" spans="1:56" x14ac:dyDescent="0.55000000000000004">
      <c r="A6" s="3" t="s">
        <v>33</v>
      </c>
      <c r="B6" s="83"/>
      <c r="C6" s="56"/>
      <c r="D6" s="56"/>
      <c r="E6" s="56"/>
      <c r="F6" s="55">
        <f>B24^3</f>
        <v>2744000000000</v>
      </c>
      <c r="G6" s="81"/>
      <c r="H6" s="84"/>
      <c r="I6" s="55"/>
      <c r="J6" s="3"/>
      <c r="K6" s="3">
        <v>1</v>
      </c>
      <c r="L6" s="4"/>
      <c r="M6" s="36">
        <f t="shared" si="4"/>
        <v>0</v>
      </c>
      <c r="N6" s="36">
        <f t="shared" si="5"/>
        <v>0</v>
      </c>
      <c r="O6" s="36">
        <f t="shared" si="6"/>
        <v>0</v>
      </c>
      <c r="P6" s="36">
        <f t="shared" si="1"/>
        <v>219520</v>
      </c>
      <c r="Q6" s="36">
        <f t="shared" si="2"/>
        <v>0</v>
      </c>
      <c r="R6" s="84">
        <f t="shared" si="7"/>
        <v>0</v>
      </c>
      <c r="S6" s="55">
        <f t="shared" si="8"/>
        <v>0</v>
      </c>
      <c r="T6" s="55">
        <f t="shared" si="9"/>
        <v>0</v>
      </c>
      <c r="U6" s="55">
        <f t="shared" si="10"/>
        <v>219520</v>
      </c>
      <c r="V6" s="81">
        <f t="shared" si="11"/>
        <v>0</v>
      </c>
      <c r="W6" s="36">
        <f t="shared" si="12"/>
        <v>219520</v>
      </c>
      <c r="X6" s="36"/>
      <c r="Y6" s="83"/>
      <c r="Z6" s="56"/>
      <c r="AA6" s="56"/>
      <c r="AB6" s="55">
        <f>Y24^3</f>
        <v>262144000000</v>
      </c>
      <c r="AC6" s="81"/>
      <c r="AD6" s="84"/>
      <c r="AE6" s="55"/>
      <c r="AF6" s="3"/>
      <c r="AG6" s="3">
        <v>1</v>
      </c>
      <c r="AH6" s="4"/>
      <c r="AI6" s="56"/>
      <c r="AJ6" s="83"/>
      <c r="AK6" s="56"/>
      <c r="AL6" s="56"/>
      <c r="AM6" s="55">
        <f>AJ24^3</f>
        <v>2744000000000</v>
      </c>
      <c r="AN6" s="81"/>
      <c r="AO6" s="84"/>
      <c r="AP6" s="55"/>
      <c r="AQ6" s="3"/>
      <c r="AR6" s="3">
        <v>1</v>
      </c>
      <c r="AS6" s="4"/>
      <c r="AU6" s="83"/>
      <c r="AV6" s="56"/>
      <c r="AW6" s="56"/>
      <c r="AX6" s="55">
        <f>AU24^3</f>
        <v>17576000000000</v>
      </c>
      <c r="AY6" s="81"/>
      <c r="AZ6" s="84"/>
      <c r="BA6" s="55"/>
      <c r="BB6" s="3"/>
      <c r="BC6" s="3">
        <v>1</v>
      </c>
      <c r="BD6" s="4"/>
    </row>
    <row r="7" spans="1:56" x14ac:dyDescent="0.55000000000000004">
      <c r="A7" s="3" t="s">
        <v>34</v>
      </c>
      <c r="B7" s="83"/>
      <c r="C7" s="56">
        <f>2*B24*B25*B23</f>
        <v>7280000000</v>
      </c>
      <c r="D7" s="56"/>
      <c r="E7" s="56"/>
      <c r="F7" s="55"/>
      <c r="G7" s="81"/>
      <c r="H7" s="84"/>
      <c r="I7" s="55">
        <v>1</v>
      </c>
      <c r="J7" s="3"/>
      <c r="K7" s="3"/>
      <c r="L7" s="4"/>
      <c r="M7" s="36">
        <f t="shared" si="4"/>
        <v>0</v>
      </c>
      <c r="N7" s="36">
        <f t="shared" si="5"/>
        <v>12.816901408450704</v>
      </c>
      <c r="O7" s="36">
        <f t="shared" si="6"/>
        <v>0</v>
      </c>
      <c r="P7" s="36">
        <f t="shared" si="1"/>
        <v>0</v>
      </c>
      <c r="Q7" s="36">
        <f t="shared" si="2"/>
        <v>0</v>
      </c>
      <c r="R7" s="84">
        <f t="shared" si="7"/>
        <v>0</v>
      </c>
      <c r="S7" s="55">
        <f t="shared" si="8"/>
        <v>12.816901408450704</v>
      </c>
      <c r="T7" s="55">
        <f t="shared" si="9"/>
        <v>0</v>
      </c>
      <c r="U7" s="55">
        <f t="shared" si="10"/>
        <v>0</v>
      </c>
      <c r="V7" s="81">
        <f t="shared" si="11"/>
        <v>0</v>
      </c>
      <c r="W7" s="36">
        <f t="shared" si="12"/>
        <v>12.816901408450704</v>
      </c>
      <c r="X7" s="36"/>
      <c r="Y7" s="83"/>
      <c r="Z7" s="56">
        <f>2*Y24*Y25*Y23</f>
        <v>832000000</v>
      </c>
      <c r="AA7" s="56"/>
      <c r="AB7" s="55"/>
      <c r="AC7" s="81"/>
      <c r="AD7" s="84"/>
      <c r="AE7" s="55">
        <v>1</v>
      </c>
      <c r="AF7" s="3"/>
      <c r="AG7" s="3"/>
      <c r="AH7" s="4"/>
      <c r="AI7" s="56"/>
      <c r="AJ7" s="83"/>
      <c r="AK7" s="56">
        <f>2*AJ24*AJ25*AJ23</f>
        <v>7280000000</v>
      </c>
      <c r="AL7" s="56"/>
      <c r="AM7" s="55"/>
      <c r="AN7" s="81"/>
      <c r="AO7" s="84"/>
      <c r="AP7" s="55">
        <v>1</v>
      </c>
      <c r="AQ7" s="3"/>
      <c r="AR7" s="3"/>
      <c r="AS7" s="4"/>
      <c r="AU7" s="83"/>
      <c r="AV7" s="56">
        <f>2*AU24*AU25*AU23</f>
        <v>53040000000</v>
      </c>
      <c r="AW7" s="56"/>
      <c r="AX7" s="55"/>
      <c r="AY7" s="81"/>
      <c r="AZ7" s="84"/>
      <c r="BA7" s="55">
        <v>1</v>
      </c>
      <c r="BB7" s="3"/>
      <c r="BC7" s="3"/>
      <c r="BD7" s="4"/>
    </row>
    <row r="8" spans="1:56" x14ac:dyDescent="0.55000000000000004">
      <c r="A8" s="3" t="s">
        <v>35</v>
      </c>
      <c r="B8" s="83"/>
      <c r="D8" s="56">
        <f>4*B26</f>
        <v>12</v>
      </c>
      <c r="E8" s="56"/>
      <c r="F8" s="55"/>
      <c r="G8" s="81"/>
      <c r="H8" s="84"/>
      <c r="I8" s="55"/>
      <c r="J8" s="3">
        <f>B25*B23</f>
        <v>260000</v>
      </c>
      <c r="K8" s="3"/>
      <c r="L8" s="4"/>
      <c r="M8" s="36">
        <f t="shared" si="4"/>
        <v>0</v>
      </c>
      <c r="N8" s="36">
        <f t="shared" si="5"/>
        <v>0</v>
      </c>
      <c r="O8" s="36">
        <f t="shared" si="6"/>
        <v>1.9292604501607716E-8</v>
      </c>
      <c r="P8" s="36">
        <f t="shared" si="1"/>
        <v>0</v>
      </c>
      <c r="Q8" s="36">
        <f t="shared" si="2"/>
        <v>0</v>
      </c>
      <c r="R8" s="84">
        <f t="shared" si="7"/>
        <v>0</v>
      </c>
      <c r="S8" s="55">
        <f t="shared" si="8"/>
        <v>0</v>
      </c>
      <c r="T8" s="55">
        <f t="shared" si="9"/>
        <v>5.016077170418006E-3</v>
      </c>
      <c r="U8" s="55">
        <f t="shared" si="10"/>
        <v>0</v>
      </c>
      <c r="V8" s="81">
        <f t="shared" si="11"/>
        <v>0</v>
      </c>
      <c r="W8" s="36">
        <f t="shared" si="12"/>
        <v>5.016077170418006E-3</v>
      </c>
      <c r="X8" s="36"/>
      <c r="Y8" s="83"/>
      <c r="AA8" s="56">
        <f>4*Y26</f>
        <v>12</v>
      </c>
      <c r="AB8" s="55"/>
      <c r="AC8" s="81"/>
      <c r="AD8" s="84"/>
      <c r="AE8" s="55"/>
      <c r="AF8" s="3">
        <f>Y25*Y23</f>
        <v>65000</v>
      </c>
      <c r="AG8" s="3"/>
      <c r="AH8" s="4"/>
      <c r="AI8" s="56"/>
      <c r="AJ8" s="83"/>
      <c r="AL8" s="56">
        <f>4*AJ26</f>
        <v>12</v>
      </c>
      <c r="AM8" s="55"/>
      <c r="AN8" s="81"/>
      <c r="AO8" s="84"/>
      <c r="AP8" s="55"/>
      <c r="AQ8" s="3">
        <f>AJ25*AJ23</f>
        <v>260000</v>
      </c>
      <c r="AR8" s="3"/>
      <c r="AS8" s="4"/>
      <c r="AU8" s="83"/>
      <c r="AW8" s="56">
        <f>4*AU26</f>
        <v>12</v>
      </c>
      <c r="AX8" s="55"/>
      <c r="AY8" s="81"/>
      <c r="AZ8" s="84"/>
      <c r="BA8" s="55"/>
      <c r="BB8" s="3">
        <f>AU25*AU23</f>
        <v>1020000</v>
      </c>
      <c r="BC8" s="3"/>
      <c r="BD8" s="4"/>
    </row>
    <row r="9" spans="1:56" x14ac:dyDescent="0.55000000000000004">
      <c r="A9" s="3" t="s">
        <v>36</v>
      </c>
      <c r="B9" s="83"/>
      <c r="C9" s="56"/>
      <c r="D9" s="56">
        <f>B25*B23*B24^2</f>
        <v>50960000000000</v>
      </c>
      <c r="E9" s="56"/>
      <c r="F9" s="55"/>
      <c r="G9" s="81"/>
      <c r="H9" s="84"/>
      <c r="I9" s="55"/>
      <c r="J9" s="3">
        <v>1</v>
      </c>
      <c r="K9" s="3"/>
      <c r="L9" s="4"/>
      <c r="M9" s="36">
        <f t="shared" si="4"/>
        <v>0</v>
      </c>
      <c r="N9" s="36">
        <f t="shared" si="5"/>
        <v>0</v>
      </c>
      <c r="O9" s="36">
        <f t="shared" si="6"/>
        <v>81929.260450160771</v>
      </c>
      <c r="P9" s="36">
        <f t="shared" si="1"/>
        <v>0</v>
      </c>
      <c r="Q9" s="36">
        <f t="shared" si="2"/>
        <v>0</v>
      </c>
      <c r="R9" s="84">
        <f t="shared" si="7"/>
        <v>0</v>
      </c>
      <c r="S9" s="55">
        <f t="shared" si="8"/>
        <v>0</v>
      </c>
      <c r="T9" s="55">
        <f t="shared" si="9"/>
        <v>81929.260450160771</v>
      </c>
      <c r="U9" s="55">
        <f t="shared" si="10"/>
        <v>0</v>
      </c>
      <c r="V9" s="81">
        <f t="shared" si="11"/>
        <v>0</v>
      </c>
      <c r="W9" s="36">
        <f t="shared" si="12"/>
        <v>81929.260450160771</v>
      </c>
      <c r="X9" s="36"/>
      <c r="Y9" s="83"/>
      <c r="Z9" s="56"/>
      <c r="AA9" s="56">
        <f>Y25*Y23*Y24^2</f>
        <v>2662400000000</v>
      </c>
      <c r="AB9" s="55"/>
      <c r="AC9" s="81"/>
      <c r="AD9" s="84"/>
      <c r="AE9" s="55"/>
      <c r="AF9" s="3">
        <v>1</v>
      </c>
      <c r="AG9" s="3"/>
      <c r="AH9" s="4"/>
      <c r="AI9" s="56"/>
      <c r="AJ9" s="83"/>
      <c r="AK9" s="56"/>
      <c r="AL9" s="56">
        <f>AJ25*AJ23*AJ24^2</f>
        <v>50960000000000</v>
      </c>
      <c r="AM9" s="55"/>
      <c r="AN9" s="81"/>
      <c r="AO9" s="84"/>
      <c r="AP9" s="55"/>
      <c r="AQ9" s="3">
        <v>1</v>
      </c>
      <c r="AR9" s="3"/>
      <c r="AS9" s="4"/>
      <c r="AU9" s="83"/>
      <c r="AV9" s="56"/>
      <c r="AW9" s="56">
        <f>AU25*AU23*AU24^2</f>
        <v>689520000000000</v>
      </c>
      <c r="AX9" s="55"/>
      <c r="AY9" s="81"/>
      <c r="AZ9" s="84"/>
      <c r="BA9" s="55"/>
      <c r="BB9" s="3">
        <v>1</v>
      </c>
      <c r="BC9" s="3"/>
      <c r="BD9" s="4"/>
    </row>
    <row r="10" spans="1:56" x14ac:dyDescent="0.55000000000000004">
      <c r="A10" s="3" t="s">
        <v>37</v>
      </c>
      <c r="B10" s="83">
        <f>0.5*B27^3</f>
        <v>4294967296</v>
      </c>
      <c r="C10" s="56"/>
      <c r="D10" s="56"/>
      <c r="E10" s="56"/>
      <c r="F10" s="55"/>
      <c r="G10" s="81">
        <f>(2*B27)^2*LOG(2*B27,2)</f>
        <v>201326592</v>
      </c>
      <c r="H10" s="84">
        <f>6*B28</f>
        <v>60</v>
      </c>
      <c r="I10" s="55"/>
      <c r="J10" s="3"/>
      <c r="K10" s="3"/>
      <c r="L10" s="4">
        <f>4*B28</f>
        <v>40</v>
      </c>
      <c r="M10" s="36">
        <f t="shared" si="4"/>
        <v>14.221746013245033</v>
      </c>
      <c r="N10" s="36">
        <f t="shared" si="5"/>
        <v>0</v>
      </c>
      <c r="O10" s="36">
        <f t="shared" si="6"/>
        <v>0</v>
      </c>
      <c r="P10" s="36">
        <f t="shared" si="1"/>
        <v>0</v>
      </c>
      <c r="Q10" s="36">
        <f t="shared" si="2"/>
        <v>10.271764897959184</v>
      </c>
      <c r="R10" s="84">
        <f t="shared" si="7"/>
        <v>853.30476079470202</v>
      </c>
      <c r="S10" s="55">
        <f t="shared" si="8"/>
        <v>0</v>
      </c>
      <c r="T10" s="55">
        <f t="shared" si="9"/>
        <v>0</v>
      </c>
      <c r="U10" s="55">
        <f t="shared" si="10"/>
        <v>0</v>
      </c>
      <c r="V10" s="81">
        <f t="shared" si="11"/>
        <v>410.87059591836737</v>
      </c>
      <c r="W10" s="36">
        <f t="shared" si="12"/>
        <v>1264.1753567130695</v>
      </c>
      <c r="X10" s="36"/>
      <c r="Y10" s="83">
        <f>0.5*Y27^3</f>
        <v>536870912</v>
      </c>
      <c r="Z10" s="56"/>
      <c r="AA10" s="56"/>
      <c r="AB10" s="55"/>
      <c r="AC10" s="81">
        <f>(2*Y27)^2*LOG(2*Y27,2)</f>
        <v>46137344</v>
      </c>
      <c r="AD10" s="84">
        <f>6*Y28</f>
        <v>60</v>
      </c>
      <c r="AE10" s="55"/>
      <c r="AF10" s="3"/>
      <c r="AG10" s="3"/>
      <c r="AH10" s="4">
        <f>4*Y28</f>
        <v>40</v>
      </c>
      <c r="AI10" s="56"/>
      <c r="AJ10" s="83">
        <f>0.5*AJ27^3</f>
        <v>4294967296</v>
      </c>
      <c r="AK10" s="56"/>
      <c r="AL10" s="56"/>
      <c r="AM10" s="55"/>
      <c r="AN10" s="81">
        <f>(2*AJ27)^2*LOG(2*AJ27,2)</f>
        <v>201326592</v>
      </c>
      <c r="AO10" s="84">
        <f>6*AJ28</f>
        <v>60</v>
      </c>
      <c r="AP10" s="55"/>
      <c r="AQ10" s="3"/>
      <c r="AR10" s="3"/>
      <c r="AS10" s="4">
        <f>4*AJ28</f>
        <v>40</v>
      </c>
      <c r="AU10" s="83">
        <f>0.5*AU27^3</f>
        <v>34359738368</v>
      </c>
      <c r="AV10" s="56"/>
      <c r="AW10" s="56"/>
      <c r="AX10" s="55"/>
      <c r="AY10" s="81">
        <f>(2*AU27)^2*LOG(2*AU27,2)</f>
        <v>872415232</v>
      </c>
      <c r="AZ10" s="84">
        <f>6*AU28</f>
        <v>60</v>
      </c>
      <c r="BA10" s="55"/>
      <c r="BB10" s="3"/>
      <c r="BC10" s="3"/>
      <c r="BD10" s="4">
        <f>4*AU28</f>
        <v>40</v>
      </c>
    </row>
    <row r="11" spans="1:56" x14ac:dyDescent="0.55000000000000004">
      <c r="A11" s="3" t="s">
        <v>38</v>
      </c>
      <c r="B11" s="83"/>
      <c r="C11" s="56"/>
      <c r="D11" s="56">
        <f>2*B23*B24^2</f>
        <v>10192000000000</v>
      </c>
      <c r="E11" s="56"/>
      <c r="F11" s="55"/>
      <c r="G11" s="81"/>
      <c r="H11" s="84"/>
      <c r="I11" s="55"/>
      <c r="J11" s="3">
        <v>1</v>
      </c>
      <c r="K11" s="3"/>
      <c r="L11" s="4"/>
      <c r="M11" s="36">
        <f t="shared" si="4"/>
        <v>0</v>
      </c>
      <c r="N11" s="36">
        <f t="shared" si="5"/>
        <v>0</v>
      </c>
      <c r="O11" s="36">
        <f t="shared" si="6"/>
        <v>16385.852090032153</v>
      </c>
      <c r="P11" s="36">
        <f t="shared" si="1"/>
        <v>0</v>
      </c>
      <c r="Q11" s="36">
        <f t="shared" si="2"/>
        <v>0</v>
      </c>
      <c r="R11" s="84">
        <f t="shared" si="7"/>
        <v>0</v>
      </c>
      <c r="S11" s="55">
        <f t="shared" si="8"/>
        <v>0</v>
      </c>
      <c r="T11" s="55">
        <f t="shared" si="9"/>
        <v>16385.852090032153</v>
      </c>
      <c r="U11" s="55">
        <f t="shared" si="10"/>
        <v>0</v>
      </c>
      <c r="V11" s="81">
        <f t="shared" si="11"/>
        <v>0</v>
      </c>
      <c r="W11" s="36">
        <f t="shared" si="12"/>
        <v>16385.852090032153</v>
      </c>
      <c r="X11" s="36"/>
      <c r="Y11" s="83"/>
      <c r="Z11" s="56"/>
      <c r="AA11" s="56">
        <f>2*Y23*Y24^2</f>
        <v>1064960000000</v>
      </c>
      <c r="AB11" s="55"/>
      <c r="AC11" s="81"/>
      <c r="AD11" s="84"/>
      <c r="AE11" s="55"/>
      <c r="AF11" s="3">
        <v>1</v>
      </c>
      <c r="AG11" s="3"/>
      <c r="AH11" s="4"/>
      <c r="AI11" s="56"/>
      <c r="AJ11" s="83"/>
      <c r="AK11" s="56"/>
      <c r="AL11" s="56">
        <f>2*AJ23*AJ24^2</f>
        <v>10192000000000</v>
      </c>
      <c r="AM11" s="55"/>
      <c r="AN11" s="81"/>
      <c r="AO11" s="84"/>
      <c r="AP11" s="55"/>
      <c r="AQ11" s="3">
        <v>1</v>
      </c>
      <c r="AR11" s="3"/>
      <c r="AS11" s="4"/>
      <c r="AU11" s="83"/>
      <c r="AV11" s="56"/>
      <c r="AW11" s="56">
        <f>2*AU23*AU24^2</f>
        <v>68952000000000</v>
      </c>
      <c r="AX11" s="55"/>
      <c r="AY11" s="81"/>
      <c r="AZ11" s="84"/>
      <c r="BA11" s="55"/>
      <c r="BB11" s="3">
        <v>1</v>
      </c>
      <c r="BC11" s="3"/>
      <c r="BD11" s="4"/>
    </row>
    <row r="12" spans="1:56" x14ac:dyDescent="0.55000000000000004">
      <c r="A12" s="3" t="s">
        <v>39</v>
      </c>
      <c r="B12" s="83"/>
      <c r="C12" s="56">
        <f>2*B25*B23*B24</f>
        <v>7280000000</v>
      </c>
      <c r="D12" s="56"/>
      <c r="E12" s="56"/>
      <c r="F12" s="55"/>
      <c r="G12" s="81"/>
      <c r="H12" s="84"/>
      <c r="I12" s="55">
        <v>1</v>
      </c>
      <c r="J12" s="3"/>
      <c r="K12" s="3"/>
      <c r="L12" s="4"/>
      <c r="M12" s="36">
        <f t="shared" si="4"/>
        <v>0</v>
      </c>
      <c r="N12" s="36">
        <f t="shared" si="5"/>
        <v>12.816901408450704</v>
      </c>
      <c r="O12" s="36">
        <f t="shared" si="6"/>
        <v>0</v>
      </c>
      <c r="P12" s="36">
        <f t="shared" si="1"/>
        <v>0</v>
      </c>
      <c r="Q12" s="36">
        <f t="shared" si="2"/>
        <v>0</v>
      </c>
      <c r="R12" s="84">
        <f t="shared" si="7"/>
        <v>0</v>
      </c>
      <c r="S12" s="55">
        <f t="shared" si="8"/>
        <v>12.816901408450704</v>
      </c>
      <c r="T12" s="55">
        <f t="shared" si="9"/>
        <v>0</v>
      </c>
      <c r="U12" s="55">
        <f t="shared" si="10"/>
        <v>0</v>
      </c>
      <c r="V12" s="81">
        <f t="shared" si="11"/>
        <v>0</v>
      </c>
      <c r="W12" s="36">
        <f t="shared" si="12"/>
        <v>12.816901408450704</v>
      </c>
      <c r="X12" s="36"/>
      <c r="Y12" s="83"/>
      <c r="Z12" s="56">
        <f>2*Y25*Y23*Y24</f>
        <v>832000000</v>
      </c>
      <c r="AA12" s="56"/>
      <c r="AB12" s="55"/>
      <c r="AC12" s="81"/>
      <c r="AD12" s="84"/>
      <c r="AE12" s="55">
        <v>1</v>
      </c>
      <c r="AF12" s="3"/>
      <c r="AG12" s="3"/>
      <c r="AH12" s="4"/>
      <c r="AI12" s="56"/>
      <c r="AJ12" s="83"/>
      <c r="AK12" s="56">
        <f>2*AJ25*AJ23*AJ24</f>
        <v>7280000000</v>
      </c>
      <c r="AL12" s="56"/>
      <c r="AM12" s="55"/>
      <c r="AN12" s="81"/>
      <c r="AO12" s="84"/>
      <c r="AP12" s="55">
        <v>1</v>
      </c>
      <c r="AQ12" s="3"/>
      <c r="AR12" s="3"/>
      <c r="AS12" s="4"/>
      <c r="AU12" s="83"/>
      <c r="AV12" s="56">
        <f>2*AU25*AU23*AU24</f>
        <v>53040000000</v>
      </c>
      <c r="AW12" s="56"/>
      <c r="AX12" s="55"/>
      <c r="AY12" s="81"/>
      <c r="AZ12" s="84"/>
      <c r="BA12" s="55">
        <v>1</v>
      </c>
      <c r="BB12" s="3"/>
      <c r="BC12" s="3"/>
      <c r="BD12" s="4"/>
    </row>
    <row r="13" spans="1:56" x14ac:dyDescent="0.55000000000000004">
      <c r="A13" s="3" t="s">
        <v>40</v>
      </c>
      <c r="B13" s="83"/>
      <c r="C13" s="56"/>
      <c r="D13" s="56"/>
      <c r="E13" s="56"/>
      <c r="F13" s="55"/>
      <c r="G13" s="81">
        <f>2*B31*LOG(SQRT(B31),2)</f>
        <v>381321.82407288265</v>
      </c>
      <c r="H13" s="84"/>
      <c r="I13" s="55"/>
      <c r="J13" s="3"/>
      <c r="K13" s="3"/>
      <c r="L13" s="4">
        <f>3*B25</f>
        <v>30</v>
      </c>
      <c r="M13" s="36">
        <f t="shared" si="4"/>
        <v>0</v>
      </c>
      <c r="N13" s="36">
        <f t="shared" si="5"/>
        <v>0</v>
      </c>
      <c r="O13" s="36">
        <f t="shared" si="6"/>
        <v>0</v>
      </c>
      <c r="P13" s="36">
        <f t="shared" si="1"/>
        <v>0</v>
      </c>
      <c r="Q13" s="36">
        <f t="shared" si="2"/>
        <v>1.9455195105759319E-2</v>
      </c>
      <c r="R13" s="84">
        <f t="shared" si="7"/>
        <v>0</v>
      </c>
      <c r="S13" s="55">
        <f t="shared" si="8"/>
        <v>0</v>
      </c>
      <c r="T13" s="55">
        <f t="shared" si="9"/>
        <v>0</v>
      </c>
      <c r="U13" s="55">
        <f t="shared" si="10"/>
        <v>0</v>
      </c>
      <c r="V13" s="81">
        <f t="shared" si="11"/>
        <v>0.58365585317277957</v>
      </c>
      <c r="W13" s="36">
        <f t="shared" si="12"/>
        <v>0.58365585317277957</v>
      </c>
      <c r="X13" s="36"/>
      <c r="Y13" s="83"/>
      <c r="Z13" s="56"/>
      <c r="AA13" s="56"/>
      <c r="AB13" s="55"/>
      <c r="AC13" s="81">
        <f>2*Y31*LOG(SQRT(Y31),2)</f>
        <v>177660.91203644132</v>
      </c>
      <c r="AD13" s="84"/>
      <c r="AE13" s="55"/>
      <c r="AF13" s="3"/>
      <c r="AG13" s="3"/>
      <c r="AH13" s="4">
        <f>3*Y25</f>
        <v>15</v>
      </c>
      <c r="AI13" s="56"/>
      <c r="AJ13" s="83"/>
      <c r="AK13" s="56"/>
      <c r="AL13" s="56"/>
      <c r="AM13" s="55"/>
      <c r="AN13" s="81">
        <f>2*AJ31*LOG(SQRT(AJ31),2)</f>
        <v>381321.82407288265</v>
      </c>
      <c r="AO13" s="84"/>
      <c r="AP13" s="55"/>
      <c r="AQ13" s="3"/>
      <c r="AR13" s="3"/>
      <c r="AS13" s="4">
        <f>3*AJ25</f>
        <v>30</v>
      </c>
      <c r="AU13" s="83"/>
      <c r="AV13" s="56"/>
      <c r="AW13" s="56"/>
      <c r="AX13" s="55"/>
      <c r="AY13" s="81">
        <f>2*AU31*LOG(SQRT(AU31),2)</f>
        <v>797548.69095831283</v>
      </c>
      <c r="AZ13" s="84"/>
      <c r="BA13" s="55"/>
      <c r="BB13" s="3"/>
      <c r="BC13" s="3"/>
      <c r="BD13" s="4">
        <f>3*AU25</f>
        <v>60</v>
      </c>
    </row>
    <row r="14" spans="1:56" x14ac:dyDescent="0.55000000000000004">
      <c r="A14" t="s">
        <v>41</v>
      </c>
      <c r="B14" s="83">
        <f>2*B24*B26</f>
        <v>84000</v>
      </c>
      <c r="C14" s="56"/>
      <c r="D14" s="56"/>
      <c r="E14" s="56"/>
      <c r="F14" s="55"/>
      <c r="G14" s="81"/>
      <c r="H14" s="84">
        <f>8*B25*B24*B23</f>
        <v>29120000000</v>
      </c>
      <c r="I14" s="55"/>
      <c r="J14" s="3"/>
      <c r="K14" s="3"/>
      <c r="L14" s="4"/>
      <c r="M14" s="36">
        <f t="shared" si="4"/>
        <v>2.781456953642384E-4</v>
      </c>
      <c r="N14" s="36">
        <f t="shared" si="5"/>
        <v>0</v>
      </c>
      <c r="O14" s="36">
        <f t="shared" si="6"/>
        <v>0</v>
      </c>
      <c r="P14" s="36">
        <f t="shared" si="1"/>
        <v>0</v>
      </c>
      <c r="Q14" s="36">
        <f t="shared" si="2"/>
        <v>0</v>
      </c>
      <c r="R14" s="84">
        <f t="shared" si="7"/>
        <v>8099602.6490066219</v>
      </c>
      <c r="S14" s="55">
        <f t="shared" si="8"/>
        <v>0</v>
      </c>
      <c r="T14" s="55">
        <f t="shared" si="9"/>
        <v>0</v>
      </c>
      <c r="U14" s="55">
        <f t="shared" si="10"/>
        <v>0</v>
      </c>
      <c r="V14" s="81">
        <f t="shared" si="11"/>
        <v>0</v>
      </c>
      <c r="W14" s="36">
        <f t="shared" si="12"/>
        <v>8099602.6490066219</v>
      </c>
      <c r="X14" s="36"/>
      <c r="Y14" s="83">
        <f>2*Y24*Y26</f>
        <v>38400</v>
      </c>
      <c r="Z14" s="56"/>
      <c r="AA14" s="56"/>
      <c r="AB14" s="55"/>
      <c r="AC14" s="81"/>
      <c r="AD14" s="84">
        <f>8*Y25*Y24*Y23</f>
        <v>3328000000</v>
      </c>
      <c r="AE14" s="55"/>
      <c r="AF14" s="3"/>
      <c r="AG14" s="3"/>
      <c r="AH14" s="4"/>
      <c r="AI14" s="56"/>
      <c r="AJ14" s="83">
        <f>2*AJ24*AJ26</f>
        <v>84000</v>
      </c>
      <c r="AK14" s="56"/>
      <c r="AL14" s="56"/>
      <c r="AM14" s="55"/>
      <c r="AN14" s="81"/>
      <c r="AO14" s="84">
        <f>8*AJ25*AJ24*AJ23</f>
        <v>29120000000</v>
      </c>
      <c r="AP14" s="55"/>
      <c r="AQ14" s="3"/>
      <c r="AR14" s="3"/>
      <c r="AS14" s="4"/>
      <c r="AU14" s="83">
        <f>2*AU24*AU26</f>
        <v>156000</v>
      </c>
      <c r="AV14" s="56"/>
      <c r="AW14" s="56"/>
      <c r="AX14" s="55"/>
      <c r="AY14" s="81"/>
      <c r="AZ14" s="84">
        <f>8*AU25*AU24*AU23</f>
        <v>212160000000</v>
      </c>
      <c r="BA14" s="55"/>
      <c r="BB14" s="3"/>
      <c r="BC14" s="3"/>
      <c r="BD14" s="4"/>
    </row>
    <row r="15" spans="1:56" x14ac:dyDescent="0.55000000000000004">
      <c r="A15" s="85" t="s">
        <v>42</v>
      </c>
      <c r="B15" s="86"/>
      <c r="C15" s="87"/>
      <c r="D15" s="87"/>
      <c r="E15" s="87"/>
      <c r="F15" s="87"/>
      <c r="G15" s="88"/>
      <c r="H15" s="86"/>
      <c r="I15" s="87"/>
      <c r="J15" s="89"/>
      <c r="K15" s="89"/>
      <c r="L15" s="90"/>
      <c r="R15" s="2"/>
      <c r="S15" s="3"/>
      <c r="T15" s="3"/>
      <c r="U15" s="3"/>
      <c r="V15" s="4"/>
      <c r="AI15" s="11"/>
    </row>
    <row r="16" spans="1:56" x14ac:dyDescent="0.55000000000000004">
      <c r="H16" s="2"/>
      <c r="I16" s="3"/>
      <c r="J16" s="3"/>
      <c r="K16" s="3"/>
      <c r="L16" s="4"/>
      <c r="R16" s="2"/>
      <c r="S16" s="3"/>
      <c r="T16" s="3"/>
      <c r="U16" s="3"/>
      <c r="V16" s="4"/>
    </row>
    <row r="21" spans="1:47" x14ac:dyDescent="0.55000000000000004">
      <c r="A21" s="146" t="s">
        <v>158</v>
      </c>
      <c r="B21" s="146"/>
    </row>
    <row r="22" spans="1:47" x14ac:dyDescent="0.55000000000000004">
      <c r="A22" t="s">
        <v>1</v>
      </c>
      <c r="B22" s="13" t="s">
        <v>131</v>
      </c>
      <c r="Y22" s="93" t="s">
        <v>26</v>
      </c>
      <c r="AJ22" s="93" t="s">
        <v>141</v>
      </c>
      <c r="AU22" s="93" t="s">
        <v>139</v>
      </c>
    </row>
    <row r="23" spans="1:47" x14ac:dyDescent="0.55000000000000004">
      <c r="A23" t="s">
        <v>6</v>
      </c>
      <c r="B23">
        <f>'Top Level Case Parameters'!I4</f>
        <v>26000</v>
      </c>
      <c r="Y23">
        <f>'Top Level Case Parameters'!G4</f>
        <v>13000</v>
      </c>
      <c r="AJ23">
        <f>'Top Level Case Parameters'!D4</f>
        <v>26000</v>
      </c>
      <c r="AU23">
        <f>'Top Level Case Parameters'!H4</f>
        <v>51000</v>
      </c>
    </row>
    <row r="24" spans="1:47" x14ac:dyDescent="0.55000000000000004">
      <c r="A24" t="s">
        <v>8</v>
      </c>
      <c r="B24">
        <f>'Top Level Case Parameters'!I5</f>
        <v>14000</v>
      </c>
      <c r="Y24">
        <f>'Top Level Case Parameters'!G5</f>
        <v>6400</v>
      </c>
      <c r="AJ24">
        <f>'Top Level Case Parameters'!D5</f>
        <v>14000</v>
      </c>
      <c r="AU24">
        <f>'Top Level Case Parameters'!H5</f>
        <v>26000</v>
      </c>
    </row>
    <row r="25" spans="1:47" x14ac:dyDescent="0.55000000000000004">
      <c r="A25" t="s">
        <v>10</v>
      </c>
      <c r="B25">
        <f>'Top Level Case Parameters'!I6</f>
        <v>10</v>
      </c>
      <c r="Y25">
        <f>'Top Level Case Parameters'!G6</f>
        <v>5</v>
      </c>
      <c r="AJ25">
        <f>'Top Level Case Parameters'!D6</f>
        <v>10</v>
      </c>
      <c r="AU25">
        <f>'Top Level Case Parameters'!H6</f>
        <v>20</v>
      </c>
    </row>
    <row r="26" spans="1:47" x14ac:dyDescent="0.55000000000000004">
      <c r="A26" t="s">
        <v>12</v>
      </c>
      <c r="B26">
        <f>'Top Level Case Parameters'!I7</f>
        <v>3</v>
      </c>
      <c r="Y26">
        <f>'Top Level Case Parameters'!G7</f>
        <v>3</v>
      </c>
      <c r="AJ26">
        <f>'Top Level Case Parameters'!D7</f>
        <v>3</v>
      </c>
      <c r="AU26">
        <f>'Top Level Case Parameters'!H7</f>
        <v>3</v>
      </c>
    </row>
    <row r="27" spans="1:47" x14ac:dyDescent="0.55000000000000004">
      <c r="A27" t="s">
        <v>14</v>
      </c>
      <c r="B27">
        <f>'Top Level Case Parameters'!I8</f>
        <v>2048</v>
      </c>
      <c r="Y27">
        <f>'Top Level Case Parameters'!G8</f>
        <v>1024</v>
      </c>
      <c r="AJ27">
        <f>'Top Level Case Parameters'!D8</f>
        <v>2048</v>
      </c>
      <c r="AU27">
        <f>'Top Level Case Parameters'!H8</f>
        <v>4096</v>
      </c>
    </row>
    <row r="28" spans="1:47" x14ac:dyDescent="0.55000000000000004">
      <c r="A28" t="s">
        <v>16</v>
      </c>
      <c r="B28">
        <f>'Top Level Case Parameters'!I9</f>
        <v>10</v>
      </c>
      <c r="Y28">
        <f>'Top Level Case Parameters'!G9</f>
        <v>10</v>
      </c>
      <c r="AJ28">
        <f>'Top Level Case Parameters'!D9</f>
        <v>10</v>
      </c>
      <c r="AU28">
        <f>'Top Level Case Parameters'!H9</f>
        <v>10</v>
      </c>
    </row>
    <row r="29" spans="1:47" x14ac:dyDescent="0.55000000000000004">
      <c r="A29" t="s">
        <v>18</v>
      </c>
      <c r="B29">
        <f>'Top Level Case Parameters'!I10</f>
        <v>10</v>
      </c>
      <c r="Y29">
        <f>'Top Level Case Parameters'!G10</f>
        <v>10</v>
      </c>
      <c r="AJ29">
        <f>'Top Level Case Parameters'!D10</f>
        <v>10</v>
      </c>
      <c r="AU29">
        <f>'Top Level Case Parameters'!H10</f>
        <v>10</v>
      </c>
    </row>
    <row r="30" spans="1:47" x14ac:dyDescent="0.55000000000000004">
      <c r="A30" t="s">
        <v>20</v>
      </c>
      <c r="B30">
        <f>'Top Level Case Parameters'!I11</f>
        <v>5100</v>
      </c>
      <c r="Y30">
        <f>'Top Level Case Parameters'!G11</f>
        <v>2600</v>
      </c>
      <c r="AJ30">
        <f>'Top Level Case Parameters'!D11</f>
        <v>5100</v>
      </c>
      <c r="AU30">
        <f>'Top Level Case Parameters'!H11</f>
        <v>10000</v>
      </c>
    </row>
    <row r="31" spans="1:47" x14ac:dyDescent="0.55000000000000004">
      <c r="A31" t="s">
        <v>22</v>
      </c>
      <c r="B31">
        <f>'Top Level Case Parameters'!I12</f>
        <v>26000</v>
      </c>
      <c r="Y31">
        <f>'Top Level Case Parameters'!G12</f>
        <v>13000</v>
      </c>
      <c r="AJ31">
        <f>'Top Level Case Parameters'!D12</f>
        <v>26000</v>
      </c>
      <c r="AU31">
        <f>'Top Level Case Parameters'!H12</f>
        <v>51000</v>
      </c>
    </row>
    <row r="33" spans="1:40" x14ac:dyDescent="0.55000000000000004">
      <c r="A33" s="54"/>
      <c r="B33" s="142" t="s">
        <v>131</v>
      </c>
      <c r="C33" s="142"/>
      <c r="D33" s="142"/>
      <c r="E33" s="142"/>
      <c r="F33" s="142"/>
      <c r="G33" s="108"/>
      <c r="W33" s="36"/>
      <c r="X33" s="36"/>
    </row>
    <row r="34" spans="1:40" x14ac:dyDescent="0.55000000000000004">
      <c r="B34" t="s">
        <v>45</v>
      </c>
      <c r="C34" t="s">
        <v>52</v>
      </c>
      <c r="D34" t="s">
        <v>53</v>
      </c>
      <c r="E34" t="s">
        <v>54</v>
      </c>
      <c r="F34" t="s">
        <v>55</v>
      </c>
    </row>
    <row r="35" spans="1:40" x14ac:dyDescent="0.55000000000000004">
      <c r="B35" s="36">
        <f>'Top Level Case Parameters'!B58</f>
        <v>302000000</v>
      </c>
      <c r="C35" s="36">
        <f>'Top Level Case Parameters'!B59</f>
        <v>568000000</v>
      </c>
      <c r="D35" s="36">
        <f>'Top Level Case Parameters'!B60</f>
        <v>622000000</v>
      </c>
      <c r="E35" s="36">
        <f>'Top Level Case Parameters'!B61</f>
        <v>12500000</v>
      </c>
      <c r="F35" s="36">
        <f>'Top Level Case Parameters'!B62</f>
        <v>19600000</v>
      </c>
    </row>
    <row r="36" spans="1:40" x14ac:dyDescent="0.55000000000000004">
      <c r="B36" s="36"/>
    </row>
    <row r="37" spans="1:40" x14ac:dyDescent="0.55000000000000004">
      <c r="B37" s="36"/>
      <c r="D37" s="36"/>
      <c r="E37" s="36"/>
    </row>
    <row r="38" spans="1:40" x14ac:dyDescent="0.55000000000000004">
      <c r="A38" s="76" t="s">
        <v>132</v>
      </c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</row>
    <row r="39" spans="1:40" x14ac:dyDescent="0.55000000000000004">
      <c r="A39" s="75"/>
      <c r="F39" s="75" t="str">
        <f>'Processor Benchmarks'!AG5</f>
        <v>Desktop</v>
      </c>
      <c r="G39" s="75"/>
      <c r="H39" s="75"/>
      <c r="I39" s="75"/>
      <c r="J39" s="75"/>
      <c r="L39" s="75" t="str">
        <f>'Processor Benchmarks'!AG7</f>
        <v>RAD5545</v>
      </c>
      <c r="M39" s="75"/>
      <c r="N39" s="75"/>
      <c r="O39" s="75"/>
      <c r="P39" s="75"/>
      <c r="R39" s="75" t="s">
        <v>90</v>
      </c>
      <c r="S39" s="75"/>
      <c r="T39" s="75"/>
      <c r="U39" s="75"/>
      <c r="V39" s="75"/>
      <c r="W39" s="75"/>
      <c r="X39" s="75" t="s">
        <v>217</v>
      </c>
      <c r="Y39" s="75"/>
      <c r="Z39" s="75"/>
      <c r="AA39" s="75"/>
      <c r="AB39" s="75"/>
      <c r="AC39" s="75"/>
      <c r="AD39" s="75"/>
    </row>
    <row r="40" spans="1:40" x14ac:dyDescent="0.55000000000000004">
      <c r="A40" s="75"/>
      <c r="F40" s="75" t="str">
        <f>'Processor Benchmarks'!AI4</f>
        <v>GEMM</v>
      </c>
      <c r="G40" s="75" t="str">
        <f>'Processor Benchmarks'!AJ4</f>
        <v>GEMV</v>
      </c>
      <c r="H40" s="75" t="str">
        <f>'Processor Benchmarks'!AK4</f>
        <v>Gram</v>
      </c>
      <c r="I40" s="75" t="str">
        <f>'Processor Benchmarks'!AL4</f>
        <v>QR</v>
      </c>
      <c r="J40" s="75" t="str">
        <f>'Processor Benchmarks'!AM4</f>
        <v>FFT</v>
      </c>
      <c r="K40" t="s">
        <v>169</v>
      </c>
      <c r="L40" s="75" t="s">
        <v>45</v>
      </c>
      <c r="M40" s="75" t="s">
        <v>52</v>
      </c>
      <c r="N40" s="75" t="s">
        <v>53</v>
      </c>
      <c r="O40" s="75" t="s">
        <v>54</v>
      </c>
      <c r="P40" s="75" t="s">
        <v>166</v>
      </c>
      <c r="Q40" s="75" t="s">
        <v>169</v>
      </c>
      <c r="R40" s="75" t="s">
        <v>45</v>
      </c>
      <c r="S40" s="75" t="s">
        <v>52</v>
      </c>
      <c r="T40" s="75" t="s">
        <v>53</v>
      </c>
      <c r="U40" s="75" t="s">
        <v>54</v>
      </c>
      <c r="V40" s="75" t="s">
        <v>166</v>
      </c>
      <c r="W40" s="75" t="s">
        <v>169</v>
      </c>
      <c r="X40" s="110" t="s">
        <v>45</v>
      </c>
      <c r="Y40" s="110" t="s">
        <v>52</v>
      </c>
      <c r="Z40" s="110" t="s">
        <v>53</v>
      </c>
      <c r="AA40" s="110" t="s">
        <v>54</v>
      </c>
      <c r="AB40" s="110" t="s">
        <v>166</v>
      </c>
      <c r="AC40" s="110" t="s">
        <v>169</v>
      </c>
      <c r="AD40" s="75"/>
    </row>
    <row r="41" spans="1:40" x14ac:dyDescent="0.55000000000000004">
      <c r="A41" s="75" t="str">
        <f>'Processor Benchmarks'!AH5</f>
        <v>a</v>
      </c>
      <c r="F41" s="75">
        <f>'Processor Benchmarks'!AI5</f>
        <v>3.2945221691606357E-11</v>
      </c>
      <c r="G41" s="75">
        <f>'Processor Benchmarks'!AJ5</f>
        <v>5.4401236346063865E-10</v>
      </c>
      <c r="H41" s="75">
        <f>'Processor Benchmarks'!AK5</f>
        <v>1.627322552170156E-10</v>
      </c>
      <c r="I41" s="75">
        <f>'Processor Benchmarks'!AL5</f>
        <v>2.2524797014258458E-11</v>
      </c>
      <c r="J41" s="75">
        <f>'Processor Benchmarks'!AM5</f>
        <v>2.0686755575316296E-10</v>
      </c>
      <c r="L41" s="75">
        <f>'Processor Benchmarks'!AI7</f>
        <v>6.9119959175927799E-12</v>
      </c>
      <c r="M41" s="75">
        <f>'Processor Benchmarks'!AJ7</f>
        <v>4.6107184148260574E-8</v>
      </c>
      <c r="N41" s="75">
        <f>'Processor Benchmarks'!AK7</f>
        <v>5.5559633965770579E-10</v>
      </c>
      <c r="O41" s="75">
        <f>'Processor Benchmarks'!AL7</f>
        <v>9.5552766981267453E-8</v>
      </c>
      <c r="P41" s="75">
        <f>'Processor Benchmarks'!AM7</f>
        <v>8.9041137510391101E-8</v>
      </c>
      <c r="R41" s="75">
        <f>'Processor Benchmarks'!AI9</f>
        <v>1.6334382024755697E-9</v>
      </c>
      <c r="S41" s="75">
        <f>'Processor Benchmarks'!AJ9</f>
        <v>1.732438156015168E-9</v>
      </c>
      <c r="T41" s="75">
        <f>'Processor Benchmarks'!AK9</f>
        <v>2.1491756015649904E-10</v>
      </c>
      <c r="U41" s="75">
        <f>'Processor Benchmarks'!AL9</f>
        <v>2.2439216334014784E-10</v>
      </c>
      <c r="V41" s="75">
        <f>'Processor Benchmarks'!AM9</f>
        <v>4.0033806244082011E-8</v>
      </c>
      <c r="W41" s="75"/>
      <c r="X41" s="75">
        <f>'Processor Benchmarks'!AI11</f>
        <v>5.3433248268341872E-10</v>
      </c>
      <c r="Y41" s="110">
        <f>'Processor Benchmarks'!AJ11</f>
        <v>3.4172555745559377E-10</v>
      </c>
      <c r="Z41" s="110">
        <f>'Processor Benchmarks'!AK11</f>
        <v>2.1491756015649904E-10</v>
      </c>
      <c r="AA41" s="110">
        <f>'Processor Benchmarks'!AL11</f>
        <v>7.0563969181260902E-9</v>
      </c>
      <c r="AB41" s="110">
        <f>'Processor Benchmarks'!AM11</f>
        <v>8.4869290581973724E-10</v>
      </c>
      <c r="AC41" s="75"/>
      <c r="AD41" s="75"/>
    </row>
    <row r="42" spans="1:40" x14ac:dyDescent="0.55000000000000004">
      <c r="A42" s="75" t="str">
        <f>'Processor Benchmarks'!AH6</f>
        <v>k</v>
      </c>
      <c r="F42" s="75">
        <f>'Processor Benchmarks'!AI6</f>
        <v>1.060279409576484</v>
      </c>
      <c r="G42" s="75">
        <f>'Processor Benchmarks'!AJ6</f>
        <v>1.0033930528035164</v>
      </c>
      <c r="H42" s="75">
        <f>'Processor Benchmarks'!AK6</f>
        <v>0.96863757385842242</v>
      </c>
      <c r="I42" s="75">
        <f>'Processor Benchmarks'!AL6</f>
        <v>1.2267259793360423</v>
      </c>
      <c r="J42" s="75">
        <f>'Processor Benchmarks'!AM6</f>
        <v>1.1748330818851718</v>
      </c>
      <c r="L42" s="75">
        <f>'Processor Benchmarks'!AI8</f>
        <v>1.3400615384052394</v>
      </c>
      <c r="M42" s="75">
        <f>'Processor Benchmarks'!AJ8</f>
        <v>0.99828273197391826</v>
      </c>
      <c r="N42" s="75">
        <f>'Processor Benchmarks'!AK8</f>
        <v>1.1098039764857097</v>
      </c>
      <c r="O42" s="75">
        <f>'Processor Benchmarks'!AL8</f>
        <v>1.0871031395157336</v>
      </c>
      <c r="P42" s="75">
        <f>'Processor Benchmarks'!AM8</f>
        <v>1.0900569689003936</v>
      </c>
      <c r="R42" s="75">
        <f>'Processor Benchmarks'!AI10</f>
        <v>1.0283075440794212</v>
      </c>
      <c r="S42" s="75">
        <f>'Processor Benchmarks'!AJ10</f>
        <v>1.0008567234345154</v>
      </c>
      <c r="T42" s="75">
        <f>'Processor Benchmarks'!AK10</f>
        <v>1.0719753623885691</v>
      </c>
      <c r="U42" s="75">
        <f>'Processor Benchmarks'!AL10</f>
        <v>1.2354442526057605</v>
      </c>
      <c r="V42" s="75">
        <f>'Processor Benchmarks'!AM10</f>
        <v>1.0122774867355249</v>
      </c>
      <c r="W42" s="75"/>
      <c r="X42" s="110">
        <f>'Processor Benchmarks'!AI12</f>
        <v>0.99993964925527357</v>
      </c>
      <c r="Y42" s="110">
        <f>'Processor Benchmarks'!AJ12</f>
        <v>1.1904559959968719</v>
      </c>
      <c r="Z42" s="110">
        <f>'Processor Benchmarks'!AK12</f>
        <v>1.0719753623885691</v>
      </c>
      <c r="AA42" s="110">
        <f>'Processor Benchmarks'!AL12</f>
        <v>1.0033892164123821</v>
      </c>
      <c r="AB42" s="110">
        <f>'Processor Benchmarks'!AM12</f>
        <v>0.99020436388563426</v>
      </c>
      <c r="AC42" s="75"/>
      <c r="AD42" s="75"/>
    </row>
    <row r="43" spans="1:40" x14ac:dyDescent="0.55000000000000004">
      <c r="A43" s="137" t="s">
        <v>26</v>
      </c>
      <c r="B43" s="137"/>
      <c r="C43" s="137"/>
      <c r="D43" s="137"/>
      <c r="E43" s="111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75"/>
      <c r="AE43" t="str">
        <f t="shared" ref="AE43:AE56" si="13">Y1</f>
        <v>HabEx</v>
      </c>
      <c r="AF43">
        <f t="shared" ref="AF43:AF56" si="14">Z1</f>
        <v>0</v>
      </c>
      <c r="AG43">
        <f t="shared" ref="AG43:AG56" si="15">AA1</f>
        <v>0</v>
      </c>
      <c r="AH43">
        <f t="shared" ref="AH43:AH56" si="16">AB1</f>
        <v>0</v>
      </c>
      <c r="AI43">
        <f t="shared" ref="AI43:AI56" si="17">AC1</f>
        <v>0</v>
      </c>
      <c r="AJ43">
        <f t="shared" ref="AJ43:AJ56" si="18">AD1</f>
        <v>0</v>
      </c>
      <c r="AK43">
        <f t="shared" ref="AK43:AK56" si="19">AE1</f>
        <v>0</v>
      </c>
      <c r="AL43">
        <f t="shared" ref="AL43:AL56" si="20">AF1</f>
        <v>0</v>
      </c>
      <c r="AM43">
        <f t="shared" ref="AM43:AM56" si="21">AG1</f>
        <v>0</v>
      </c>
      <c r="AN43">
        <f t="shared" ref="AN43:AN56" si="22">AH1</f>
        <v>0</v>
      </c>
    </row>
    <row r="44" spans="1:40" x14ac:dyDescent="0.55000000000000004">
      <c r="A44" s="75"/>
      <c r="B44" s="147" t="s">
        <v>171</v>
      </c>
      <c r="C44" s="147"/>
      <c r="D44" s="147"/>
      <c r="E44" s="114"/>
      <c r="F44" s="131" t="s">
        <v>170</v>
      </c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  <c r="W44" s="131"/>
      <c r="X44" s="131"/>
      <c r="Y44" s="131"/>
      <c r="Z44" s="75"/>
      <c r="AE44" t="str">
        <f t="shared" si="13"/>
        <v>Size of Operations Required</v>
      </c>
      <c r="AF44">
        <f t="shared" si="14"/>
        <v>0</v>
      </c>
      <c r="AG44">
        <f t="shared" si="15"/>
        <v>0</v>
      </c>
      <c r="AH44">
        <f t="shared" si="16"/>
        <v>0</v>
      </c>
      <c r="AI44">
        <f t="shared" si="17"/>
        <v>0</v>
      </c>
      <c r="AJ44" t="str">
        <f t="shared" si="18"/>
        <v>Scale Factor</v>
      </c>
      <c r="AK44">
        <f t="shared" si="19"/>
        <v>0</v>
      </c>
      <c r="AL44">
        <f t="shared" si="20"/>
        <v>0</v>
      </c>
      <c r="AM44">
        <f t="shared" si="21"/>
        <v>0</v>
      </c>
      <c r="AN44">
        <f t="shared" si="22"/>
        <v>0</v>
      </c>
    </row>
    <row r="45" spans="1:40" x14ac:dyDescent="0.55000000000000004">
      <c r="A45" s="17" t="s">
        <v>134</v>
      </c>
      <c r="B45" t="s">
        <v>165</v>
      </c>
      <c r="C45" t="s">
        <v>84</v>
      </c>
      <c r="D45" t="s">
        <v>90</v>
      </c>
      <c r="E45" t="s">
        <v>217</v>
      </c>
      <c r="F45" s="36"/>
      <c r="AE45" t="str">
        <f t="shared" si="13"/>
        <v>GEMM</v>
      </c>
      <c r="AF45" t="str">
        <f t="shared" si="14"/>
        <v>GEMV</v>
      </c>
      <c r="AG45" t="str">
        <f t="shared" si="15"/>
        <v>Gram</v>
      </c>
      <c r="AH45" t="str">
        <f t="shared" si="16"/>
        <v>QR</v>
      </c>
      <c r="AI45" t="str">
        <f t="shared" si="17"/>
        <v>2D FFT</v>
      </c>
      <c r="AJ45" t="str">
        <f t="shared" si="18"/>
        <v>GEMM</v>
      </c>
      <c r="AK45" t="str">
        <f t="shared" si="19"/>
        <v>GEMV</v>
      </c>
      <c r="AL45" t="str">
        <f t="shared" si="20"/>
        <v>Gram</v>
      </c>
      <c r="AM45" t="str">
        <f t="shared" si="21"/>
        <v>QR</v>
      </c>
      <c r="AN45" t="str">
        <f t="shared" si="22"/>
        <v>2D FFT</v>
      </c>
    </row>
    <row r="46" spans="1:40" x14ac:dyDescent="0.55000000000000004">
      <c r="A46" s="5" t="s">
        <v>31</v>
      </c>
      <c r="B46" s="36">
        <f>K46</f>
        <v>38130.596564890788</v>
      </c>
      <c r="C46" s="36">
        <f>Q46</f>
        <v>3239574.9238282358</v>
      </c>
      <c r="D46" s="36">
        <f>W46</f>
        <v>591056.3967170812</v>
      </c>
      <c r="E46" s="36">
        <f>AC46</f>
        <v>59228.167576776403</v>
      </c>
      <c r="F46" s="36">
        <f t="shared" ref="F46:F56" si="23">F$41*AE46^F$42 *AJ46</f>
        <v>11407.617190112467</v>
      </c>
      <c r="G46" s="36">
        <f t="shared" ref="G46:G56" si="24">G$41*AF46^G$42 *AK46</f>
        <v>0</v>
      </c>
      <c r="H46" s="36">
        <f t="shared" ref="H46:H56" si="25">H$41*AG46^H$42 *AL46</f>
        <v>0</v>
      </c>
      <c r="I46" s="36">
        <f t="shared" ref="I46:I56" si="26">I$41*AH46^I$42 *AM46</f>
        <v>0</v>
      </c>
      <c r="J46" s="36">
        <f t="shared" ref="J46:J56" si="27">J$41*AI46^J$42 *AN46</f>
        <v>26722.979374778319</v>
      </c>
      <c r="K46" s="36">
        <f>SUM(F46:J46)</f>
        <v>38130.596564890788</v>
      </c>
      <c r="L46" s="36">
        <f t="shared" ref="L46:L56" si="28">L$41*AE46^L$42 *AJ46</f>
        <v>662929.82074824686</v>
      </c>
      <c r="M46" s="36">
        <f t="shared" ref="M46:M56" si="29">M$41*AF46^M$42 *AK46</f>
        <v>0</v>
      </c>
      <c r="N46" s="36">
        <f t="shared" ref="N46:N56" si="30">N$41*AG46^N$42 *AL46</f>
        <v>0</v>
      </c>
      <c r="O46" s="36">
        <f t="shared" ref="O46:O56" si="31">O$41*AH46^O$42 *AM46</f>
        <v>0</v>
      </c>
      <c r="P46" s="36">
        <f t="shared" ref="P46:P56" si="32">P$41*AI46^P$42 *AN46</f>
        <v>2576645.1030799891</v>
      </c>
      <c r="Q46" s="36">
        <f>SUM(L46:P46)</f>
        <v>3239574.9238282358</v>
      </c>
      <c r="R46" s="36">
        <f t="shared" ref="R46:R56" si="33">R$41*AE46^R$42 *AJ46</f>
        <v>297436.99705523922</v>
      </c>
      <c r="S46" s="36">
        <f t="shared" ref="S46:S56" si="34">S$41*AF46^S$42 *AK46</f>
        <v>0</v>
      </c>
      <c r="T46" s="36">
        <f t="shared" ref="T46:T56" si="35">T$41*AG46^T$42 *AL46</f>
        <v>0</v>
      </c>
      <c r="U46" s="36">
        <f t="shared" ref="U46:U56" si="36">U$41*AH46^U$42 *AM46</f>
        <v>0</v>
      </c>
      <c r="V46" s="36">
        <f t="shared" ref="V46:V56" si="37">V$41*AI46^V$42 *AN46</f>
        <v>293619.39966184198</v>
      </c>
      <c r="W46" s="36">
        <f>SUM(R46:V46)</f>
        <v>591056.3967170812</v>
      </c>
      <c r="X46" s="36">
        <f>X$41*AE46^X$42 *AJ46</f>
        <v>55011.796155267781</v>
      </c>
      <c r="Y46" s="36">
        <f t="shared" ref="Y46:AB46" si="38">Y$41*AF46^Y$42 *AK46</f>
        <v>0</v>
      </c>
      <c r="Z46" s="36">
        <f t="shared" si="38"/>
        <v>0</v>
      </c>
      <c r="AA46" s="36">
        <f t="shared" si="38"/>
        <v>0</v>
      </c>
      <c r="AB46" s="36">
        <f t="shared" si="38"/>
        <v>4216.3714215086202</v>
      </c>
      <c r="AC46" s="36">
        <f>SUM(X46:AB46)</f>
        <v>59228.167576776403</v>
      </c>
      <c r="AE46">
        <f t="shared" si="13"/>
        <v>536870912</v>
      </c>
      <c r="AF46">
        <f t="shared" si="14"/>
        <v>0</v>
      </c>
      <c r="AG46">
        <f t="shared" si="15"/>
        <v>0</v>
      </c>
      <c r="AH46">
        <f t="shared" si="16"/>
        <v>0</v>
      </c>
      <c r="AI46">
        <f t="shared" si="17"/>
        <v>46137344</v>
      </c>
      <c r="AJ46">
        <f t="shared" si="18"/>
        <v>192000</v>
      </c>
      <c r="AK46">
        <f t="shared" si="19"/>
        <v>0</v>
      </c>
      <c r="AL46">
        <f t="shared" si="20"/>
        <v>0</v>
      </c>
      <c r="AM46">
        <f t="shared" si="21"/>
        <v>0</v>
      </c>
      <c r="AN46">
        <f t="shared" si="22"/>
        <v>128000</v>
      </c>
    </row>
    <row r="47" spans="1:40" x14ac:dyDescent="0.55000000000000004">
      <c r="A47" s="3" t="s">
        <v>32</v>
      </c>
      <c r="B47" s="36">
        <f t="shared" ref="B47:B56" si="39">K47</f>
        <v>345.66005609902624</v>
      </c>
      <c r="C47" s="36">
        <f t="shared" ref="C47:C56" si="40">Q47</f>
        <v>73868.85792166437</v>
      </c>
      <c r="D47" s="36">
        <f t="shared" ref="D47:D56" si="41">W47</f>
        <v>9430.9511167855599</v>
      </c>
      <c r="E47" s="36">
        <f t="shared" ref="E47:E56" si="42">AC47</f>
        <v>9430.9511167855599</v>
      </c>
      <c r="F47" s="36">
        <f t="shared" si="23"/>
        <v>0</v>
      </c>
      <c r="G47" s="36">
        <f t="shared" si="24"/>
        <v>0</v>
      </c>
      <c r="H47" s="36">
        <f t="shared" si="25"/>
        <v>345.66005609902624</v>
      </c>
      <c r="I47" s="36">
        <f t="shared" si="26"/>
        <v>0</v>
      </c>
      <c r="J47" s="36">
        <f t="shared" si="27"/>
        <v>0</v>
      </c>
      <c r="K47" s="36">
        <f t="shared" ref="K47:K56" si="43">SUM(F47:J47)</f>
        <v>345.66005609902624</v>
      </c>
      <c r="L47" s="36">
        <f t="shared" si="28"/>
        <v>0</v>
      </c>
      <c r="M47" s="36">
        <f t="shared" si="29"/>
        <v>0</v>
      </c>
      <c r="N47" s="36">
        <f t="shared" si="30"/>
        <v>73868.85792166437</v>
      </c>
      <c r="O47" s="36">
        <f t="shared" si="31"/>
        <v>0</v>
      </c>
      <c r="P47" s="36">
        <f t="shared" si="32"/>
        <v>0</v>
      </c>
      <c r="Q47" s="36">
        <f t="shared" ref="Q47:Q56" si="44">SUM(L47:P47)</f>
        <v>73868.85792166437</v>
      </c>
      <c r="R47" s="36">
        <f t="shared" si="33"/>
        <v>0</v>
      </c>
      <c r="S47" s="36">
        <f t="shared" si="34"/>
        <v>0</v>
      </c>
      <c r="T47" s="36">
        <f t="shared" si="35"/>
        <v>9430.9511167855599</v>
      </c>
      <c r="U47" s="36">
        <f t="shared" si="36"/>
        <v>0</v>
      </c>
      <c r="V47" s="36">
        <f t="shared" si="37"/>
        <v>0</v>
      </c>
      <c r="W47" s="36">
        <f t="shared" ref="W47:W56" si="45">SUM(R47:V47)</f>
        <v>9430.9511167855599</v>
      </c>
      <c r="X47" s="36">
        <f t="shared" ref="X47:X56" si="46">X$41*AE47^X$42 *AJ47</f>
        <v>0</v>
      </c>
      <c r="Y47" s="36">
        <f t="shared" ref="Y47:Y56" si="47">Y$41*AF47^Y$42 *AK47</f>
        <v>0</v>
      </c>
      <c r="Z47" s="36">
        <f t="shared" ref="Z47:Z56" si="48">Z$41*AG47^Z$42 *AL47</f>
        <v>9430.9511167855599</v>
      </c>
      <c r="AA47" s="36">
        <f t="shared" ref="AA47:AA56" si="49">AA$41*AH47^AA$42 *AM47</f>
        <v>0</v>
      </c>
      <c r="AB47" s="36">
        <f t="shared" ref="AB47:AB56" si="50">AB$41*AI47^AB$42 *AN47</f>
        <v>0</v>
      </c>
      <c r="AC47" s="36">
        <f t="shared" ref="AC47:AC56" si="51">SUM(X47:AB47)</f>
        <v>9430.9511167855599</v>
      </c>
      <c r="AE47">
        <f t="shared" si="13"/>
        <v>0</v>
      </c>
      <c r="AF47">
        <f t="shared" si="14"/>
        <v>0</v>
      </c>
      <c r="AG47">
        <f t="shared" si="15"/>
        <v>5324800000000</v>
      </c>
      <c r="AH47">
        <f t="shared" si="16"/>
        <v>0</v>
      </c>
      <c r="AI47">
        <f t="shared" si="17"/>
        <v>0</v>
      </c>
      <c r="AJ47">
        <f t="shared" si="18"/>
        <v>0</v>
      </c>
      <c r="AK47">
        <f t="shared" si="19"/>
        <v>0</v>
      </c>
      <c r="AL47">
        <f t="shared" si="20"/>
        <v>1</v>
      </c>
      <c r="AM47">
        <f t="shared" si="21"/>
        <v>0</v>
      </c>
      <c r="AN47">
        <f t="shared" si="22"/>
        <v>0</v>
      </c>
    </row>
    <row r="48" spans="1:40" x14ac:dyDescent="0.55000000000000004">
      <c r="A48" s="3" t="s">
        <v>33</v>
      </c>
      <c r="B48" s="36">
        <f t="shared" si="39"/>
        <v>2291.2920818902226</v>
      </c>
      <c r="C48" s="36">
        <f t="shared" si="40"/>
        <v>247385.28627743991</v>
      </c>
      <c r="D48" s="36">
        <f t="shared" si="41"/>
        <v>28706.299080516212</v>
      </c>
      <c r="E48" s="36">
        <f t="shared" si="42"/>
        <v>2022.1940419387108</v>
      </c>
      <c r="F48" s="36">
        <f t="shared" si="23"/>
        <v>0</v>
      </c>
      <c r="G48" s="36">
        <f t="shared" si="24"/>
        <v>0</v>
      </c>
      <c r="H48" s="36">
        <f t="shared" si="25"/>
        <v>0</v>
      </c>
      <c r="I48" s="36">
        <f t="shared" si="26"/>
        <v>2291.2920818902226</v>
      </c>
      <c r="J48" s="36">
        <f t="shared" si="27"/>
        <v>0</v>
      </c>
      <c r="K48" s="36">
        <f t="shared" si="43"/>
        <v>2291.2920818902226</v>
      </c>
      <c r="L48" s="36">
        <f t="shared" si="28"/>
        <v>0</v>
      </c>
      <c r="M48" s="36">
        <f t="shared" si="29"/>
        <v>0</v>
      </c>
      <c r="N48" s="36">
        <f t="shared" si="30"/>
        <v>0</v>
      </c>
      <c r="O48" s="36">
        <f t="shared" si="31"/>
        <v>247385.28627743991</v>
      </c>
      <c r="P48" s="36">
        <f t="shared" si="32"/>
        <v>0</v>
      </c>
      <c r="Q48" s="36">
        <f t="shared" si="44"/>
        <v>247385.28627743991</v>
      </c>
      <c r="R48" s="36">
        <f t="shared" si="33"/>
        <v>0</v>
      </c>
      <c r="S48" s="36">
        <f t="shared" si="34"/>
        <v>0</v>
      </c>
      <c r="T48" s="36">
        <f t="shared" si="35"/>
        <v>0</v>
      </c>
      <c r="U48" s="36">
        <f t="shared" si="36"/>
        <v>28706.299080516212</v>
      </c>
      <c r="V48" s="36">
        <f t="shared" si="37"/>
        <v>0</v>
      </c>
      <c r="W48" s="36">
        <f t="shared" si="45"/>
        <v>28706.299080516212</v>
      </c>
      <c r="X48" s="36">
        <f t="shared" si="46"/>
        <v>0</v>
      </c>
      <c r="Y48" s="36">
        <f t="shared" si="47"/>
        <v>0</v>
      </c>
      <c r="Z48" s="36">
        <f t="shared" si="48"/>
        <v>0</v>
      </c>
      <c r="AA48" s="36">
        <f t="shared" si="49"/>
        <v>2022.1940419387108</v>
      </c>
      <c r="AB48" s="36">
        <f t="shared" si="50"/>
        <v>0</v>
      </c>
      <c r="AC48" s="36">
        <f t="shared" si="51"/>
        <v>2022.1940419387108</v>
      </c>
      <c r="AE48">
        <f t="shared" si="13"/>
        <v>0</v>
      </c>
      <c r="AF48">
        <f t="shared" si="14"/>
        <v>0</v>
      </c>
      <c r="AG48">
        <f t="shared" si="15"/>
        <v>0</v>
      </c>
      <c r="AH48">
        <f t="shared" si="16"/>
        <v>262144000000</v>
      </c>
      <c r="AI48">
        <f t="shared" si="17"/>
        <v>0</v>
      </c>
      <c r="AJ48">
        <f t="shared" si="18"/>
        <v>0</v>
      </c>
      <c r="AK48">
        <f t="shared" si="19"/>
        <v>0</v>
      </c>
      <c r="AL48">
        <f t="shared" si="20"/>
        <v>0</v>
      </c>
      <c r="AM48">
        <f t="shared" si="21"/>
        <v>1</v>
      </c>
      <c r="AN48">
        <f t="shared" si="22"/>
        <v>0</v>
      </c>
    </row>
    <row r="49" spans="1:40" x14ac:dyDescent="0.55000000000000004">
      <c r="A49" s="3" t="s">
        <v>34</v>
      </c>
      <c r="B49" s="36">
        <f t="shared" si="39"/>
        <v>0.4852868749088442</v>
      </c>
      <c r="C49" s="36">
        <f t="shared" si="40"/>
        <v>37.031702905294615</v>
      </c>
      <c r="D49" s="36">
        <f t="shared" si="41"/>
        <v>1.4669764610235547</v>
      </c>
      <c r="E49" s="36">
        <f t="shared" si="42"/>
        <v>14.213196473219149</v>
      </c>
      <c r="F49" s="36">
        <f t="shared" si="23"/>
        <v>0</v>
      </c>
      <c r="G49" s="36">
        <f t="shared" si="24"/>
        <v>0.4852868749088442</v>
      </c>
      <c r="H49" s="36">
        <f t="shared" si="25"/>
        <v>0</v>
      </c>
      <c r="I49" s="36">
        <f t="shared" si="26"/>
        <v>0</v>
      </c>
      <c r="J49" s="36">
        <f t="shared" si="27"/>
        <v>0</v>
      </c>
      <c r="K49" s="36">
        <f t="shared" si="43"/>
        <v>0.4852868749088442</v>
      </c>
      <c r="L49" s="36">
        <f t="shared" si="28"/>
        <v>0</v>
      </c>
      <c r="M49" s="36">
        <f t="shared" si="29"/>
        <v>37.031702905294615</v>
      </c>
      <c r="N49" s="36">
        <f t="shared" si="30"/>
        <v>0</v>
      </c>
      <c r="O49" s="36">
        <f t="shared" si="31"/>
        <v>0</v>
      </c>
      <c r="P49" s="36">
        <f t="shared" si="32"/>
        <v>0</v>
      </c>
      <c r="Q49" s="36">
        <f t="shared" si="44"/>
        <v>37.031702905294615</v>
      </c>
      <c r="R49" s="36">
        <f t="shared" si="33"/>
        <v>0</v>
      </c>
      <c r="S49" s="36">
        <f t="shared" si="34"/>
        <v>1.4669764610235547</v>
      </c>
      <c r="T49" s="36">
        <f t="shared" si="35"/>
        <v>0</v>
      </c>
      <c r="U49" s="36">
        <f t="shared" si="36"/>
        <v>0</v>
      </c>
      <c r="V49" s="36">
        <f t="shared" si="37"/>
        <v>0</v>
      </c>
      <c r="W49" s="36">
        <f t="shared" si="45"/>
        <v>1.4669764610235547</v>
      </c>
      <c r="X49" s="36">
        <f t="shared" si="46"/>
        <v>0</v>
      </c>
      <c r="Y49" s="36">
        <f t="shared" si="47"/>
        <v>14.213196473219149</v>
      </c>
      <c r="Z49" s="36">
        <f t="shared" si="48"/>
        <v>0</v>
      </c>
      <c r="AA49" s="36">
        <f t="shared" si="49"/>
        <v>0</v>
      </c>
      <c r="AB49" s="36">
        <f t="shared" si="50"/>
        <v>0</v>
      </c>
      <c r="AC49" s="36">
        <f t="shared" si="51"/>
        <v>14.213196473219149</v>
      </c>
      <c r="AE49">
        <f t="shared" si="13"/>
        <v>0</v>
      </c>
      <c r="AF49">
        <f t="shared" si="14"/>
        <v>832000000</v>
      </c>
      <c r="AG49">
        <f t="shared" si="15"/>
        <v>0</v>
      </c>
      <c r="AH49">
        <f t="shared" si="16"/>
        <v>0</v>
      </c>
      <c r="AI49">
        <f t="shared" si="17"/>
        <v>0</v>
      </c>
      <c r="AJ49">
        <f t="shared" si="18"/>
        <v>0</v>
      </c>
      <c r="AK49">
        <f t="shared" si="19"/>
        <v>1</v>
      </c>
      <c r="AL49">
        <f t="shared" si="20"/>
        <v>0</v>
      </c>
      <c r="AM49">
        <f t="shared" si="21"/>
        <v>0</v>
      </c>
      <c r="AN49">
        <f t="shared" si="22"/>
        <v>0</v>
      </c>
    </row>
    <row r="50" spans="1:40" x14ac:dyDescent="0.55000000000000004">
      <c r="A50" s="3" t="s">
        <v>35</v>
      </c>
      <c r="B50" s="36">
        <f t="shared" si="39"/>
        <v>1.1741470835356902E-4</v>
      </c>
      <c r="C50" s="36">
        <f t="shared" si="40"/>
        <v>5.6931466470580593E-4</v>
      </c>
      <c r="D50" s="36">
        <f t="shared" si="41"/>
        <v>2.0046611115389344E-4</v>
      </c>
      <c r="E50" s="36">
        <f t="shared" si="42"/>
        <v>2.0046611115389344E-4</v>
      </c>
      <c r="F50" s="36">
        <f t="shared" si="23"/>
        <v>0</v>
      </c>
      <c r="G50" s="36">
        <f t="shared" si="24"/>
        <v>0</v>
      </c>
      <c r="H50" s="36">
        <f t="shared" si="25"/>
        <v>1.1741470835356902E-4</v>
      </c>
      <c r="I50" s="36">
        <f t="shared" si="26"/>
        <v>0</v>
      </c>
      <c r="J50" s="36">
        <f t="shared" si="27"/>
        <v>0</v>
      </c>
      <c r="K50" s="36">
        <f t="shared" si="43"/>
        <v>1.1741470835356902E-4</v>
      </c>
      <c r="L50" s="36">
        <f t="shared" si="28"/>
        <v>0</v>
      </c>
      <c r="M50" s="36">
        <f t="shared" si="29"/>
        <v>0</v>
      </c>
      <c r="N50" s="36">
        <f t="shared" si="30"/>
        <v>5.6931466470580593E-4</v>
      </c>
      <c r="O50" s="36">
        <f t="shared" si="31"/>
        <v>0</v>
      </c>
      <c r="P50" s="36">
        <f t="shared" si="32"/>
        <v>0</v>
      </c>
      <c r="Q50" s="36">
        <f t="shared" si="44"/>
        <v>5.6931466470580593E-4</v>
      </c>
      <c r="R50" s="36">
        <f t="shared" si="33"/>
        <v>0</v>
      </c>
      <c r="S50" s="36">
        <f t="shared" si="34"/>
        <v>0</v>
      </c>
      <c r="T50" s="36">
        <f t="shared" si="35"/>
        <v>2.0046611115389344E-4</v>
      </c>
      <c r="U50" s="36">
        <f t="shared" si="36"/>
        <v>0</v>
      </c>
      <c r="V50" s="36">
        <f t="shared" si="37"/>
        <v>0</v>
      </c>
      <c r="W50" s="36">
        <f t="shared" si="45"/>
        <v>2.0046611115389344E-4</v>
      </c>
      <c r="X50" s="36">
        <f t="shared" si="46"/>
        <v>0</v>
      </c>
      <c r="Y50" s="36">
        <f t="shared" si="47"/>
        <v>0</v>
      </c>
      <c r="Z50" s="36">
        <f t="shared" si="48"/>
        <v>2.0046611115389344E-4</v>
      </c>
      <c r="AA50" s="36">
        <f t="shared" si="49"/>
        <v>0</v>
      </c>
      <c r="AB50" s="36">
        <f t="shared" si="50"/>
        <v>0</v>
      </c>
      <c r="AC50" s="36">
        <f t="shared" si="51"/>
        <v>2.0046611115389344E-4</v>
      </c>
      <c r="AE50">
        <f t="shared" si="13"/>
        <v>0</v>
      </c>
      <c r="AF50">
        <f t="shared" si="14"/>
        <v>0</v>
      </c>
      <c r="AG50">
        <f t="shared" si="15"/>
        <v>12</v>
      </c>
      <c r="AH50">
        <f t="shared" si="16"/>
        <v>0</v>
      </c>
      <c r="AI50">
        <f t="shared" si="17"/>
        <v>0</v>
      </c>
      <c r="AJ50">
        <f t="shared" si="18"/>
        <v>0</v>
      </c>
      <c r="AK50">
        <f t="shared" si="19"/>
        <v>0</v>
      </c>
      <c r="AL50">
        <f t="shared" si="20"/>
        <v>65000</v>
      </c>
      <c r="AM50">
        <f t="shared" si="21"/>
        <v>0</v>
      </c>
      <c r="AN50">
        <f t="shared" si="22"/>
        <v>0</v>
      </c>
    </row>
    <row r="51" spans="1:40" x14ac:dyDescent="0.55000000000000004">
      <c r="A51" s="3" t="s">
        <v>36</v>
      </c>
      <c r="B51" s="36">
        <f t="shared" si="39"/>
        <v>176.62827659346283</v>
      </c>
      <c r="C51" s="36">
        <f t="shared" si="40"/>
        <v>34227.651250576528</v>
      </c>
      <c r="D51" s="36">
        <f t="shared" si="41"/>
        <v>4485.9946891742866</v>
      </c>
      <c r="E51" s="36">
        <f t="shared" si="42"/>
        <v>4485.9946891742866</v>
      </c>
      <c r="F51" s="36">
        <f t="shared" si="23"/>
        <v>0</v>
      </c>
      <c r="G51" s="36">
        <f t="shared" si="24"/>
        <v>0</v>
      </c>
      <c r="H51" s="36">
        <f t="shared" si="25"/>
        <v>176.62827659346283</v>
      </c>
      <c r="I51" s="36">
        <f t="shared" si="26"/>
        <v>0</v>
      </c>
      <c r="J51" s="36">
        <f t="shared" si="27"/>
        <v>0</v>
      </c>
      <c r="K51" s="36">
        <f t="shared" si="43"/>
        <v>176.62827659346283</v>
      </c>
      <c r="L51" s="36">
        <f t="shared" si="28"/>
        <v>0</v>
      </c>
      <c r="M51" s="36">
        <f t="shared" si="29"/>
        <v>0</v>
      </c>
      <c r="N51" s="36">
        <f t="shared" si="30"/>
        <v>34227.651250576528</v>
      </c>
      <c r="O51" s="36">
        <f t="shared" si="31"/>
        <v>0</v>
      </c>
      <c r="P51" s="36">
        <f t="shared" si="32"/>
        <v>0</v>
      </c>
      <c r="Q51" s="36">
        <f t="shared" si="44"/>
        <v>34227.651250576528</v>
      </c>
      <c r="R51" s="36">
        <f t="shared" si="33"/>
        <v>0</v>
      </c>
      <c r="S51" s="36">
        <f t="shared" si="34"/>
        <v>0</v>
      </c>
      <c r="T51" s="36">
        <f t="shared" si="35"/>
        <v>4485.9946891742866</v>
      </c>
      <c r="U51" s="36">
        <f t="shared" si="36"/>
        <v>0</v>
      </c>
      <c r="V51" s="36">
        <f t="shared" si="37"/>
        <v>0</v>
      </c>
      <c r="W51" s="36">
        <f t="shared" si="45"/>
        <v>4485.9946891742866</v>
      </c>
      <c r="X51" s="36">
        <f t="shared" si="46"/>
        <v>0</v>
      </c>
      <c r="Y51" s="36">
        <f t="shared" si="47"/>
        <v>0</v>
      </c>
      <c r="Z51" s="36">
        <f t="shared" si="48"/>
        <v>4485.9946891742866</v>
      </c>
      <c r="AA51" s="36">
        <f t="shared" si="49"/>
        <v>0</v>
      </c>
      <c r="AB51" s="36">
        <f t="shared" si="50"/>
        <v>0</v>
      </c>
      <c r="AC51" s="36">
        <f t="shared" si="51"/>
        <v>4485.9946891742866</v>
      </c>
      <c r="AE51">
        <f t="shared" si="13"/>
        <v>0</v>
      </c>
      <c r="AF51">
        <f t="shared" si="14"/>
        <v>0</v>
      </c>
      <c r="AG51">
        <f t="shared" si="15"/>
        <v>2662400000000</v>
      </c>
      <c r="AH51">
        <f t="shared" si="16"/>
        <v>0</v>
      </c>
      <c r="AI51">
        <f t="shared" si="17"/>
        <v>0</v>
      </c>
      <c r="AJ51">
        <f t="shared" si="18"/>
        <v>0</v>
      </c>
      <c r="AK51">
        <f t="shared" si="19"/>
        <v>0</v>
      </c>
      <c r="AL51">
        <f t="shared" si="20"/>
        <v>1</v>
      </c>
      <c r="AM51">
        <f t="shared" si="21"/>
        <v>0</v>
      </c>
      <c r="AN51">
        <f t="shared" si="22"/>
        <v>0</v>
      </c>
    </row>
    <row r="52" spans="1:40" x14ac:dyDescent="0.55000000000000004">
      <c r="A52" s="3" t="s">
        <v>37</v>
      </c>
      <c r="B52" s="36">
        <f t="shared" si="39"/>
        <v>11.915811426528371</v>
      </c>
      <c r="C52" s="36">
        <f t="shared" si="40"/>
        <v>1012.3671636963237</v>
      </c>
      <c r="D52" s="36">
        <f t="shared" si="41"/>
        <v>184.70512397408788</v>
      </c>
      <c r="E52" s="36">
        <f t="shared" si="42"/>
        <v>18.508802367742625</v>
      </c>
      <c r="F52" s="36">
        <f t="shared" si="23"/>
        <v>3.5648803719101458</v>
      </c>
      <c r="G52" s="36">
        <f t="shared" si="24"/>
        <v>0</v>
      </c>
      <c r="H52" s="36">
        <f t="shared" si="25"/>
        <v>0</v>
      </c>
      <c r="I52" s="36">
        <f t="shared" si="26"/>
        <v>0</v>
      </c>
      <c r="J52" s="36">
        <f t="shared" si="27"/>
        <v>8.3509310546182256</v>
      </c>
      <c r="K52" s="36">
        <f t="shared" si="43"/>
        <v>11.915811426528371</v>
      </c>
      <c r="L52" s="36">
        <f t="shared" si="28"/>
        <v>207.16556898382714</v>
      </c>
      <c r="M52" s="36">
        <f t="shared" si="29"/>
        <v>0</v>
      </c>
      <c r="N52" s="36">
        <f t="shared" si="30"/>
        <v>0</v>
      </c>
      <c r="O52" s="36">
        <f t="shared" si="31"/>
        <v>0</v>
      </c>
      <c r="P52" s="36">
        <f t="shared" si="32"/>
        <v>805.20159471249656</v>
      </c>
      <c r="Q52" s="36">
        <f t="shared" si="44"/>
        <v>1012.3671636963237</v>
      </c>
      <c r="R52" s="36">
        <f t="shared" si="33"/>
        <v>92.949061579762258</v>
      </c>
      <c r="S52" s="36">
        <f t="shared" si="34"/>
        <v>0</v>
      </c>
      <c r="T52" s="36">
        <f t="shared" si="35"/>
        <v>0</v>
      </c>
      <c r="U52" s="36">
        <f t="shared" si="36"/>
        <v>0</v>
      </c>
      <c r="V52" s="36">
        <f t="shared" si="37"/>
        <v>91.75606239432561</v>
      </c>
      <c r="W52" s="36">
        <f t="shared" si="45"/>
        <v>184.70512397408788</v>
      </c>
      <c r="X52" s="36">
        <f t="shared" si="46"/>
        <v>17.191186298521181</v>
      </c>
      <c r="Y52" s="36">
        <f t="shared" si="47"/>
        <v>0</v>
      </c>
      <c r="Z52" s="36">
        <f t="shared" si="48"/>
        <v>0</v>
      </c>
      <c r="AA52" s="36">
        <f t="shared" si="49"/>
        <v>0</v>
      </c>
      <c r="AB52" s="36">
        <f t="shared" si="50"/>
        <v>1.3176160692214438</v>
      </c>
      <c r="AC52" s="36">
        <f t="shared" si="51"/>
        <v>18.508802367742625</v>
      </c>
      <c r="AE52">
        <f t="shared" si="13"/>
        <v>536870912</v>
      </c>
      <c r="AF52">
        <f t="shared" si="14"/>
        <v>0</v>
      </c>
      <c r="AG52">
        <f t="shared" si="15"/>
        <v>0</v>
      </c>
      <c r="AH52">
        <f t="shared" si="16"/>
        <v>0</v>
      </c>
      <c r="AI52">
        <f t="shared" si="17"/>
        <v>46137344</v>
      </c>
      <c r="AJ52">
        <f t="shared" si="18"/>
        <v>60</v>
      </c>
      <c r="AK52">
        <f t="shared" si="19"/>
        <v>0</v>
      </c>
      <c r="AL52">
        <f t="shared" si="20"/>
        <v>0</v>
      </c>
      <c r="AM52">
        <f t="shared" si="21"/>
        <v>0</v>
      </c>
      <c r="AN52">
        <f t="shared" si="22"/>
        <v>40</v>
      </c>
    </row>
    <row r="53" spans="1:40" x14ac:dyDescent="0.55000000000000004">
      <c r="A53" s="3" t="s">
        <v>38</v>
      </c>
      <c r="B53" s="36">
        <f t="shared" si="39"/>
        <v>72.711078575766791</v>
      </c>
      <c r="C53" s="36">
        <f t="shared" si="40"/>
        <v>12380.600053170603</v>
      </c>
      <c r="D53" s="36">
        <f t="shared" si="41"/>
        <v>1679.8746253736467</v>
      </c>
      <c r="E53" s="36">
        <f t="shared" si="42"/>
        <v>1679.8746253736467</v>
      </c>
      <c r="F53" s="36">
        <f t="shared" si="23"/>
        <v>0</v>
      </c>
      <c r="G53" s="36">
        <f t="shared" si="24"/>
        <v>0</v>
      </c>
      <c r="H53" s="36">
        <f t="shared" si="25"/>
        <v>72.711078575766791</v>
      </c>
      <c r="I53" s="36">
        <f t="shared" si="26"/>
        <v>0</v>
      </c>
      <c r="J53" s="36">
        <f t="shared" si="27"/>
        <v>0</v>
      </c>
      <c r="K53" s="36">
        <f t="shared" si="43"/>
        <v>72.711078575766791</v>
      </c>
      <c r="L53" s="36">
        <f t="shared" si="28"/>
        <v>0</v>
      </c>
      <c r="M53" s="36">
        <f t="shared" si="29"/>
        <v>0</v>
      </c>
      <c r="N53" s="36">
        <f t="shared" si="30"/>
        <v>12380.600053170603</v>
      </c>
      <c r="O53" s="36">
        <f t="shared" si="31"/>
        <v>0</v>
      </c>
      <c r="P53" s="36">
        <f t="shared" si="32"/>
        <v>0</v>
      </c>
      <c r="Q53" s="36">
        <f t="shared" si="44"/>
        <v>12380.600053170603</v>
      </c>
      <c r="R53" s="36">
        <f t="shared" si="33"/>
        <v>0</v>
      </c>
      <c r="S53" s="36">
        <f t="shared" si="34"/>
        <v>0</v>
      </c>
      <c r="T53" s="36">
        <f t="shared" si="35"/>
        <v>1679.8746253736467</v>
      </c>
      <c r="U53" s="36">
        <f t="shared" si="36"/>
        <v>0</v>
      </c>
      <c r="V53" s="36">
        <f t="shared" si="37"/>
        <v>0</v>
      </c>
      <c r="W53" s="36">
        <f t="shared" si="45"/>
        <v>1679.8746253736467</v>
      </c>
      <c r="X53" s="36">
        <f t="shared" si="46"/>
        <v>0</v>
      </c>
      <c r="Y53" s="36">
        <f t="shared" si="47"/>
        <v>0</v>
      </c>
      <c r="Z53" s="36">
        <f t="shared" si="48"/>
        <v>1679.8746253736467</v>
      </c>
      <c r="AA53" s="36">
        <f t="shared" si="49"/>
        <v>0</v>
      </c>
      <c r="AB53" s="36">
        <f t="shared" si="50"/>
        <v>0</v>
      </c>
      <c r="AC53" s="36">
        <f t="shared" si="51"/>
        <v>1679.8746253736467</v>
      </c>
      <c r="AE53">
        <f t="shared" si="13"/>
        <v>0</v>
      </c>
      <c r="AF53">
        <f t="shared" si="14"/>
        <v>0</v>
      </c>
      <c r="AG53">
        <f t="shared" si="15"/>
        <v>1064960000000</v>
      </c>
      <c r="AH53">
        <f t="shared" si="16"/>
        <v>0</v>
      </c>
      <c r="AI53">
        <f t="shared" si="17"/>
        <v>0</v>
      </c>
      <c r="AJ53">
        <f t="shared" si="18"/>
        <v>0</v>
      </c>
      <c r="AK53">
        <f t="shared" si="19"/>
        <v>0</v>
      </c>
      <c r="AL53">
        <f t="shared" si="20"/>
        <v>1</v>
      </c>
      <c r="AM53">
        <f t="shared" si="21"/>
        <v>0</v>
      </c>
      <c r="AN53">
        <f t="shared" si="22"/>
        <v>0</v>
      </c>
    </row>
    <row r="54" spans="1:40" x14ac:dyDescent="0.55000000000000004">
      <c r="A54" s="3" t="s">
        <v>39</v>
      </c>
      <c r="B54" s="36">
        <f t="shared" si="39"/>
        <v>0.4852868749088442</v>
      </c>
      <c r="C54" s="36">
        <f t="shared" si="40"/>
        <v>37.031702905294615</v>
      </c>
      <c r="D54" s="36">
        <f t="shared" si="41"/>
        <v>1.4669764610235547</v>
      </c>
      <c r="E54" s="36">
        <f t="shared" si="42"/>
        <v>14.213196473219149</v>
      </c>
      <c r="F54" s="36">
        <f t="shared" si="23"/>
        <v>0</v>
      </c>
      <c r="G54" s="36">
        <f t="shared" si="24"/>
        <v>0.4852868749088442</v>
      </c>
      <c r="H54" s="36">
        <f t="shared" si="25"/>
        <v>0</v>
      </c>
      <c r="I54" s="36">
        <f t="shared" si="26"/>
        <v>0</v>
      </c>
      <c r="J54" s="36">
        <f t="shared" si="27"/>
        <v>0</v>
      </c>
      <c r="K54" s="36">
        <f t="shared" si="43"/>
        <v>0.4852868749088442</v>
      </c>
      <c r="L54" s="36">
        <f t="shared" si="28"/>
        <v>0</v>
      </c>
      <c r="M54" s="36">
        <f t="shared" si="29"/>
        <v>37.031702905294615</v>
      </c>
      <c r="N54" s="36">
        <f t="shared" si="30"/>
        <v>0</v>
      </c>
      <c r="O54" s="36">
        <f t="shared" si="31"/>
        <v>0</v>
      </c>
      <c r="P54" s="36">
        <f t="shared" si="32"/>
        <v>0</v>
      </c>
      <c r="Q54" s="36">
        <f t="shared" si="44"/>
        <v>37.031702905294615</v>
      </c>
      <c r="R54" s="36">
        <f t="shared" si="33"/>
        <v>0</v>
      </c>
      <c r="S54" s="36">
        <f t="shared" si="34"/>
        <v>1.4669764610235547</v>
      </c>
      <c r="T54" s="36">
        <f t="shared" si="35"/>
        <v>0</v>
      </c>
      <c r="U54" s="36">
        <f t="shared" si="36"/>
        <v>0</v>
      </c>
      <c r="V54" s="36">
        <f t="shared" si="37"/>
        <v>0</v>
      </c>
      <c r="W54" s="36">
        <f t="shared" si="45"/>
        <v>1.4669764610235547</v>
      </c>
      <c r="X54" s="36">
        <f t="shared" si="46"/>
        <v>0</v>
      </c>
      <c r="Y54" s="36">
        <f t="shared" si="47"/>
        <v>14.213196473219149</v>
      </c>
      <c r="Z54" s="36">
        <f t="shared" si="48"/>
        <v>0</v>
      </c>
      <c r="AA54" s="36">
        <f t="shared" si="49"/>
        <v>0</v>
      </c>
      <c r="AB54" s="36">
        <f t="shared" si="50"/>
        <v>0</v>
      </c>
      <c r="AC54" s="36">
        <f t="shared" si="51"/>
        <v>14.213196473219149</v>
      </c>
      <c r="AE54">
        <f t="shared" si="13"/>
        <v>0</v>
      </c>
      <c r="AF54">
        <f t="shared" si="14"/>
        <v>832000000</v>
      </c>
      <c r="AG54">
        <f t="shared" si="15"/>
        <v>0</v>
      </c>
      <c r="AH54">
        <f t="shared" si="16"/>
        <v>0</v>
      </c>
      <c r="AI54">
        <f t="shared" si="17"/>
        <v>0</v>
      </c>
      <c r="AJ54">
        <f t="shared" si="18"/>
        <v>0</v>
      </c>
      <c r="AK54">
        <f t="shared" si="19"/>
        <v>1</v>
      </c>
      <c r="AL54">
        <f t="shared" si="20"/>
        <v>0</v>
      </c>
      <c r="AM54">
        <f t="shared" si="21"/>
        <v>0</v>
      </c>
      <c r="AN54">
        <f t="shared" si="22"/>
        <v>0</v>
      </c>
    </row>
    <row r="55" spans="1:40" x14ac:dyDescent="0.55000000000000004">
      <c r="A55" s="3" t="s">
        <v>40</v>
      </c>
      <c r="B55" s="36">
        <f t="shared" si="39"/>
        <v>4.5622371610704298E-3</v>
      </c>
      <c r="C55" s="36">
        <f t="shared" si="40"/>
        <v>0.7047517763084723</v>
      </c>
      <c r="D55" s="36">
        <f t="shared" si="41"/>
        <v>0.12375473485416623</v>
      </c>
      <c r="E55" s="36">
        <f t="shared" si="42"/>
        <v>2.009141972027749E-3</v>
      </c>
      <c r="F55" s="36">
        <f t="shared" si="23"/>
        <v>0</v>
      </c>
      <c r="G55" s="36">
        <f t="shared" si="24"/>
        <v>0</v>
      </c>
      <c r="H55" s="36">
        <f t="shared" si="25"/>
        <v>0</v>
      </c>
      <c r="I55" s="36">
        <f t="shared" si="26"/>
        <v>0</v>
      </c>
      <c r="J55" s="36">
        <f t="shared" si="27"/>
        <v>4.5622371610704298E-3</v>
      </c>
      <c r="K55" s="36">
        <f t="shared" si="43"/>
        <v>4.5622371610704298E-3</v>
      </c>
      <c r="L55" s="36">
        <f t="shared" si="28"/>
        <v>0</v>
      </c>
      <c r="M55" s="36">
        <f t="shared" si="29"/>
        <v>0</v>
      </c>
      <c r="N55" s="36">
        <f t="shared" si="30"/>
        <v>0</v>
      </c>
      <c r="O55" s="36">
        <f t="shared" si="31"/>
        <v>0</v>
      </c>
      <c r="P55" s="36">
        <f t="shared" si="32"/>
        <v>0.7047517763084723</v>
      </c>
      <c r="Q55" s="36">
        <f t="shared" si="44"/>
        <v>0.7047517763084723</v>
      </c>
      <c r="R55" s="36">
        <f t="shared" si="33"/>
        <v>0</v>
      </c>
      <c r="S55" s="36">
        <f t="shared" si="34"/>
        <v>0</v>
      </c>
      <c r="T55" s="36">
        <f t="shared" si="35"/>
        <v>0</v>
      </c>
      <c r="U55" s="36">
        <f t="shared" si="36"/>
        <v>0</v>
      </c>
      <c r="V55" s="36">
        <f t="shared" si="37"/>
        <v>0.12375473485416623</v>
      </c>
      <c r="W55" s="36">
        <f t="shared" si="45"/>
        <v>0.12375473485416623</v>
      </c>
      <c r="X55" s="36">
        <f t="shared" si="46"/>
        <v>0</v>
      </c>
      <c r="Y55" s="36">
        <f t="shared" si="47"/>
        <v>0</v>
      </c>
      <c r="Z55" s="36">
        <f t="shared" si="48"/>
        <v>0</v>
      </c>
      <c r="AA55" s="36">
        <f t="shared" si="49"/>
        <v>0</v>
      </c>
      <c r="AB55" s="36">
        <f t="shared" si="50"/>
        <v>2.009141972027749E-3</v>
      </c>
      <c r="AC55" s="36">
        <f t="shared" si="51"/>
        <v>2.009141972027749E-3</v>
      </c>
      <c r="AE55">
        <f t="shared" si="13"/>
        <v>0</v>
      </c>
      <c r="AF55">
        <f t="shared" si="14"/>
        <v>0</v>
      </c>
      <c r="AG55">
        <f t="shared" si="15"/>
        <v>0</v>
      </c>
      <c r="AH55">
        <f t="shared" si="16"/>
        <v>0</v>
      </c>
      <c r="AI55">
        <f t="shared" si="17"/>
        <v>177660.91203644132</v>
      </c>
      <c r="AJ55">
        <f t="shared" si="18"/>
        <v>0</v>
      </c>
      <c r="AK55">
        <f t="shared" si="19"/>
        <v>0</v>
      </c>
      <c r="AL55">
        <f t="shared" si="20"/>
        <v>0</v>
      </c>
      <c r="AM55">
        <f t="shared" si="21"/>
        <v>0</v>
      </c>
      <c r="AN55">
        <f t="shared" si="22"/>
        <v>15</v>
      </c>
    </row>
    <row r="56" spans="1:40" x14ac:dyDescent="0.55000000000000004">
      <c r="A56" t="s">
        <v>41</v>
      </c>
      <c r="B56" s="36">
        <f t="shared" si="39"/>
        <v>7955.138694628452</v>
      </c>
      <c r="C56" s="36">
        <f t="shared" si="40"/>
        <v>31994.309646608432</v>
      </c>
      <c r="D56" s="36">
        <f t="shared" si="41"/>
        <v>281441.67624458036</v>
      </c>
      <c r="E56" s="36">
        <f t="shared" si="42"/>
        <v>68241.639225261795</v>
      </c>
      <c r="F56" s="36">
        <f t="shared" si="23"/>
        <v>7955.138694628452</v>
      </c>
      <c r="G56" s="36">
        <f t="shared" si="24"/>
        <v>0</v>
      </c>
      <c r="H56" s="36">
        <f t="shared" si="25"/>
        <v>0</v>
      </c>
      <c r="I56" s="36">
        <f t="shared" si="26"/>
        <v>0</v>
      </c>
      <c r="J56" s="36">
        <f t="shared" si="27"/>
        <v>0</v>
      </c>
      <c r="K56" s="36">
        <f t="shared" si="43"/>
        <v>7955.138694628452</v>
      </c>
      <c r="L56" s="36">
        <f t="shared" si="28"/>
        <v>31994.309646608432</v>
      </c>
      <c r="M56" s="36">
        <f t="shared" si="29"/>
        <v>0</v>
      </c>
      <c r="N56" s="36">
        <f t="shared" si="30"/>
        <v>0</v>
      </c>
      <c r="O56" s="36">
        <f t="shared" si="31"/>
        <v>0</v>
      </c>
      <c r="P56" s="36">
        <f t="shared" si="32"/>
        <v>0</v>
      </c>
      <c r="Q56" s="36">
        <f t="shared" si="44"/>
        <v>31994.309646608432</v>
      </c>
      <c r="R56" s="36">
        <f t="shared" si="33"/>
        <v>281441.67624458036</v>
      </c>
      <c r="S56" s="36">
        <f t="shared" si="34"/>
        <v>0</v>
      </c>
      <c r="T56" s="36">
        <f t="shared" si="35"/>
        <v>0</v>
      </c>
      <c r="U56" s="36">
        <f t="shared" si="36"/>
        <v>0</v>
      </c>
      <c r="V56" s="36">
        <f t="shared" si="37"/>
        <v>0</v>
      </c>
      <c r="W56" s="36">
        <f t="shared" si="45"/>
        <v>281441.67624458036</v>
      </c>
      <c r="X56" s="36">
        <f t="shared" si="46"/>
        <v>68241.639225261795</v>
      </c>
      <c r="Y56" s="36">
        <f t="shared" si="47"/>
        <v>0</v>
      </c>
      <c r="Z56" s="36">
        <f t="shared" si="48"/>
        <v>0</v>
      </c>
      <c r="AA56" s="36">
        <f t="shared" si="49"/>
        <v>0</v>
      </c>
      <c r="AB56" s="36">
        <f t="shared" si="50"/>
        <v>0</v>
      </c>
      <c r="AC56" s="36">
        <f t="shared" si="51"/>
        <v>68241.639225261795</v>
      </c>
      <c r="AE56">
        <f t="shared" si="13"/>
        <v>38400</v>
      </c>
      <c r="AF56">
        <f t="shared" si="14"/>
        <v>0</v>
      </c>
      <c r="AG56">
        <f t="shared" si="15"/>
        <v>0</v>
      </c>
      <c r="AH56">
        <f t="shared" si="16"/>
        <v>0</v>
      </c>
      <c r="AI56">
        <f t="shared" si="17"/>
        <v>0</v>
      </c>
      <c r="AJ56">
        <f t="shared" si="18"/>
        <v>3328000000</v>
      </c>
      <c r="AK56">
        <f t="shared" si="19"/>
        <v>0</v>
      </c>
      <c r="AL56">
        <f t="shared" si="20"/>
        <v>0</v>
      </c>
      <c r="AM56">
        <f t="shared" si="21"/>
        <v>0</v>
      </c>
      <c r="AN56">
        <f t="shared" si="22"/>
        <v>0</v>
      </c>
    </row>
    <row r="57" spans="1:40" x14ac:dyDescent="0.55000000000000004">
      <c r="A57" s="11"/>
      <c r="F57" s="56"/>
    </row>
    <row r="58" spans="1:40" x14ac:dyDescent="0.55000000000000004">
      <c r="A58" s="137" t="s">
        <v>141</v>
      </c>
      <c r="B58" s="137"/>
      <c r="C58" s="137"/>
      <c r="D58" s="137"/>
      <c r="E58" s="11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AE58" t="str">
        <f t="shared" ref="AE58:AE71" si="52">AJ1</f>
        <v>MID</v>
      </c>
      <c r="AF58">
        <f t="shared" ref="AF58:AF71" si="53">AK1</f>
        <v>0</v>
      </c>
      <c r="AG58">
        <f t="shared" ref="AG58:AG71" si="54">AL1</f>
        <v>0</v>
      </c>
      <c r="AH58">
        <f t="shared" ref="AH58:AH71" si="55">AM1</f>
        <v>0</v>
      </c>
      <c r="AI58">
        <f t="shared" ref="AI58:AI71" si="56">AN1</f>
        <v>0</v>
      </c>
      <c r="AJ58">
        <f t="shared" ref="AJ58:AJ71" si="57">AO1</f>
        <v>0</v>
      </c>
      <c r="AK58">
        <f t="shared" ref="AK58:AK71" si="58">AP1</f>
        <v>0</v>
      </c>
      <c r="AL58">
        <f t="shared" ref="AL58:AL71" si="59">AQ1</f>
        <v>0</v>
      </c>
      <c r="AM58">
        <f t="shared" ref="AM58:AM71" si="60">AR1</f>
        <v>0</v>
      </c>
      <c r="AN58">
        <f t="shared" ref="AN58:AN71" si="61">AS1</f>
        <v>0</v>
      </c>
    </row>
    <row r="59" spans="1:40" x14ac:dyDescent="0.55000000000000004">
      <c r="A59" s="75"/>
      <c r="B59" s="147" t="s">
        <v>171</v>
      </c>
      <c r="C59" s="147"/>
      <c r="D59" s="147"/>
      <c r="E59" s="114"/>
      <c r="F59" s="131" t="s">
        <v>170</v>
      </c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  <c r="T59" s="131"/>
      <c r="U59" s="131"/>
      <c r="V59" s="131"/>
      <c r="W59" s="131"/>
      <c r="X59" s="131"/>
      <c r="Y59" s="131"/>
      <c r="AE59" t="str">
        <f t="shared" si="52"/>
        <v>Size of Operations Required</v>
      </c>
      <c r="AF59">
        <f t="shared" si="53"/>
        <v>0</v>
      </c>
      <c r="AG59">
        <f t="shared" si="54"/>
        <v>0</v>
      </c>
      <c r="AH59">
        <f t="shared" si="55"/>
        <v>0</v>
      </c>
      <c r="AI59">
        <f t="shared" si="56"/>
        <v>0</v>
      </c>
      <c r="AJ59" t="str">
        <f t="shared" si="57"/>
        <v>Scale Factor</v>
      </c>
      <c r="AK59">
        <f t="shared" si="58"/>
        <v>0</v>
      </c>
      <c r="AL59">
        <f t="shared" si="59"/>
        <v>0</v>
      </c>
      <c r="AM59">
        <f t="shared" si="60"/>
        <v>0</v>
      </c>
      <c r="AN59">
        <f t="shared" si="61"/>
        <v>0</v>
      </c>
    </row>
    <row r="60" spans="1:40" x14ac:dyDescent="0.55000000000000004">
      <c r="A60" s="17" t="s">
        <v>134</v>
      </c>
      <c r="B60" t="s">
        <v>165</v>
      </c>
      <c r="C60" t="s">
        <v>84</v>
      </c>
      <c r="D60" t="s">
        <v>90</v>
      </c>
      <c r="E60" t="s">
        <v>217</v>
      </c>
      <c r="F60" s="36"/>
      <c r="AE60" t="str">
        <f t="shared" si="52"/>
        <v>GEMM</v>
      </c>
      <c r="AF60" t="str">
        <f t="shared" si="53"/>
        <v>GEMV</v>
      </c>
      <c r="AG60" t="str">
        <f t="shared" si="54"/>
        <v>Gram</v>
      </c>
      <c r="AH60" t="str">
        <f t="shared" si="55"/>
        <v>QR</v>
      </c>
      <c r="AI60" t="str">
        <f t="shared" si="56"/>
        <v>2D FFT</v>
      </c>
      <c r="AJ60" t="str">
        <f t="shared" si="57"/>
        <v>GEMM</v>
      </c>
      <c r="AK60" t="str">
        <f t="shared" si="58"/>
        <v>GEMV</v>
      </c>
      <c r="AL60" t="str">
        <f t="shared" si="59"/>
        <v>Gram</v>
      </c>
      <c r="AM60" t="str">
        <f t="shared" si="60"/>
        <v>QR</v>
      </c>
      <c r="AN60" t="str">
        <f t="shared" si="61"/>
        <v>2D FFT</v>
      </c>
    </row>
    <row r="61" spans="1:40" x14ac:dyDescent="0.55000000000000004">
      <c r="A61" s="5" t="s">
        <v>31</v>
      </c>
      <c r="B61" s="36">
        <f>K61</f>
        <v>1112637.6261254195</v>
      </c>
      <c r="C61" s="36">
        <f>Q61</f>
        <v>103228849.62086526</v>
      </c>
      <c r="D61" s="36">
        <f>W61</f>
        <v>16749258.236470226</v>
      </c>
      <c r="E61" s="36">
        <f>AC61</f>
        <v>2004512.263360718</v>
      </c>
      <c r="F61" s="36">
        <f t="shared" ref="F61:F71" si="62">F$41*AE61^F$42 *AJ61</f>
        <v>452585.58198396774</v>
      </c>
      <c r="G61" s="36">
        <f t="shared" ref="G61:G71" si="63">G$41*AF61^G$42 *AK61</f>
        <v>0</v>
      </c>
      <c r="H61" s="36">
        <f t="shared" ref="H61:H71" si="64">H$41*AG61^H$42 *AL61</f>
        <v>0</v>
      </c>
      <c r="I61" s="36">
        <f t="shared" ref="I61:I71" si="65">I$41*AH61^I$42 *AM61</f>
        <v>0</v>
      </c>
      <c r="J61" s="36">
        <f t="shared" ref="J61:J71" si="66">J$41*AI61^J$42 *AN61</f>
        <v>660052.04414145183</v>
      </c>
      <c r="K61" s="36">
        <f>SUM(F61:J61)</f>
        <v>1112637.6261254195</v>
      </c>
      <c r="L61" s="36">
        <f t="shared" ref="L61:L71" si="67">L$41*AE61^L$42 *AJ61</f>
        <v>47058899.863956727</v>
      </c>
      <c r="M61" s="36">
        <f t="shared" ref="M61:M71" si="68">M$41*AF61^M$42 *AK61</f>
        <v>0</v>
      </c>
      <c r="N61" s="36">
        <f t="shared" ref="N61:N71" si="69">N$41*AG61^N$42 *AL61</f>
        <v>0</v>
      </c>
      <c r="O61" s="36">
        <f t="shared" ref="O61:O71" si="70">O$41*AH61^O$42 *AM61</f>
        <v>0</v>
      </c>
      <c r="P61" s="36">
        <f t="shared" ref="P61:P71" si="71">P$41*AI61^P$42 *AN61</f>
        <v>56169949.756908521</v>
      </c>
      <c r="Q61" s="36">
        <f>SUM(L61:P61)</f>
        <v>103228849.62086526</v>
      </c>
      <c r="R61" s="36">
        <f t="shared" ref="R61:R71" si="72">R$41*AE61^R$42 *AJ61</f>
        <v>11041480.041162634</v>
      </c>
      <c r="S61" s="36">
        <f t="shared" ref="S61:S71" si="73">S$41*AF61^S$42 *AK61</f>
        <v>0</v>
      </c>
      <c r="T61" s="36">
        <f t="shared" ref="T61:T71" si="74">T$41*AG61^T$42 *AL61</f>
        <v>0</v>
      </c>
      <c r="U61" s="36">
        <f t="shared" ref="U61:U71" si="75">U$41*AH61^U$42 *AM61</f>
        <v>0</v>
      </c>
      <c r="V61" s="36">
        <f t="shared" ref="V61:V71" si="76">V$41*AI61^V$42 *AN61</f>
        <v>5707778.195307591</v>
      </c>
      <c r="W61" s="36">
        <f>SUM(R61:V61)</f>
        <v>16749258.236470226</v>
      </c>
      <c r="X61" s="36">
        <f>X$41*AE61^X$42 *AJ61</f>
        <v>1925171.2492798155</v>
      </c>
      <c r="Y61" s="36">
        <f t="shared" ref="Y61:AB61" si="77">Y$41*AF61^Y$42 *AK61</f>
        <v>0</v>
      </c>
      <c r="Z61" s="36">
        <f t="shared" si="77"/>
        <v>0</v>
      </c>
      <c r="AA61" s="36">
        <f t="shared" si="77"/>
        <v>0</v>
      </c>
      <c r="AB61" s="36">
        <f t="shared" si="77"/>
        <v>79341.014080902576</v>
      </c>
      <c r="AC61" s="36">
        <f>SUM(X61:AB61)</f>
        <v>2004512.263360718</v>
      </c>
      <c r="AE61">
        <f t="shared" si="52"/>
        <v>4294967296</v>
      </c>
      <c r="AF61">
        <f t="shared" si="53"/>
        <v>0</v>
      </c>
      <c r="AG61">
        <f t="shared" si="54"/>
        <v>0</v>
      </c>
      <c r="AH61">
        <f t="shared" si="55"/>
        <v>0</v>
      </c>
      <c r="AI61">
        <f t="shared" si="56"/>
        <v>201326592</v>
      </c>
      <c r="AJ61">
        <f t="shared" si="57"/>
        <v>840000</v>
      </c>
      <c r="AK61">
        <f t="shared" si="58"/>
        <v>0</v>
      </c>
      <c r="AL61">
        <f t="shared" si="59"/>
        <v>0</v>
      </c>
      <c r="AM61">
        <f t="shared" si="60"/>
        <v>0</v>
      </c>
      <c r="AN61">
        <f t="shared" si="61"/>
        <v>560000</v>
      </c>
    </row>
    <row r="62" spans="1:40" x14ac:dyDescent="0.55000000000000004">
      <c r="A62" s="3" t="s">
        <v>32</v>
      </c>
      <c r="B62" s="36">
        <f t="shared" ref="B62:B71" si="78">K62</f>
        <v>6031.1489856156813</v>
      </c>
      <c r="C62" s="36">
        <f t="shared" ref="C62:C71" si="79">Q62</f>
        <v>1955155.8344937284</v>
      </c>
      <c r="D62" s="36">
        <f t="shared" ref="D62:D71" si="80">W62</f>
        <v>223244.54950540778</v>
      </c>
      <c r="E62" s="36">
        <f t="shared" ref="E62:E71" si="81">AC62</f>
        <v>223244.54950540778</v>
      </c>
      <c r="F62" s="36">
        <f t="shared" si="62"/>
        <v>0</v>
      </c>
      <c r="G62" s="36">
        <f t="shared" si="63"/>
        <v>0</v>
      </c>
      <c r="H62" s="36">
        <f t="shared" si="64"/>
        <v>6031.1489856156813</v>
      </c>
      <c r="I62" s="36">
        <f t="shared" si="65"/>
        <v>0</v>
      </c>
      <c r="J62" s="36">
        <f t="shared" si="66"/>
        <v>0</v>
      </c>
      <c r="K62" s="36">
        <f t="shared" ref="K62:K71" si="82">SUM(F62:J62)</f>
        <v>6031.1489856156813</v>
      </c>
      <c r="L62" s="36">
        <f t="shared" si="67"/>
        <v>0</v>
      </c>
      <c r="M62" s="36">
        <f t="shared" si="68"/>
        <v>0</v>
      </c>
      <c r="N62" s="36">
        <f t="shared" si="69"/>
        <v>1955155.8344937284</v>
      </c>
      <c r="O62" s="36">
        <f t="shared" si="70"/>
        <v>0</v>
      </c>
      <c r="P62" s="36">
        <f t="shared" si="71"/>
        <v>0</v>
      </c>
      <c r="Q62" s="36">
        <f t="shared" ref="Q62:Q71" si="83">SUM(L62:P62)</f>
        <v>1955155.8344937284</v>
      </c>
      <c r="R62" s="36">
        <f t="shared" si="72"/>
        <v>0</v>
      </c>
      <c r="S62" s="36">
        <f t="shared" si="73"/>
        <v>0</v>
      </c>
      <c r="T62" s="36">
        <f t="shared" si="74"/>
        <v>223244.54950540778</v>
      </c>
      <c r="U62" s="36">
        <f t="shared" si="75"/>
        <v>0</v>
      </c>
      <c r="V62" s="36">
        <f t="shared" si="76"/>
        <v>0</v>
      </c>
      <c r="W62" s="36">
        <f t="shared" ref="W62:W71" si="84">SUM(R62:V62)</f>
        <v>223244.54950540778</v>
      </c>
      <c r="X62" s="36">
        <f t="shared" ref="X62:X71" si="85">X$41*AE62^X$42 *AJ62</f>
        <v>0</v>
      </c>
      <c r="Y62" s="36">
        <f t="shared" ref="Y62:Y71" si="86">Y$41*AF62^Y$42 *AK62</f>
        <v>0</v>
      </c>
      <c r="Z62" s="36">
        <f t="shared" ref="Z62:Z71" si="87">Z$41*AG62^Z$42 *AL62</f>
        <v>223244.54950540778</v>
      </c>
      <c r="AA62" s="36">
        <f t="shared" ref="AA62:AA71" si="88">AA$41*AH62^AA$42 *AM62</f>
        <v>0</v>
      </c>
      <c r="AB62" s="36">
        <f t="shared" ref="AB62:AB71" si="89">AB$41*AI62^AB$42 *AN62</f>
        <v>0</v>
      </c>
      <c r="AC62" s="36">
        <f t="shared" ref="AC62:AC71" si="90">SUM(X62:AB62)</f>
        <v>223244.54950540778</v>
      </c>
      <c r="AE62">
        <f t="shared" si="52"/>
        <v>0</v>
      </c>
      <c r="AF62">
        <f t="shared" si="53"/>
        <v>0</v>
      </c>
      <c r="AG62">
        <f t="shared" si="54"/>
        <v>101920000000000</v>
      </c>
      <c r="AH62">
        <f t="shared" si="55"/>
        <v>0</v>
      </c>
      <c r="AI62">
        <f t="shared" si="56"/>
        <v>0</v>
      </c>
      <c r="AJ62">
        <f t="shared" si="57"/>
        <v>0</v>
      </c>
      <c r="AK62">
        <f t="shared" si="58"/>
        <v>0</v>
      </c>
      <c r="AL62">
        <f t="shared" si="59"/>
        <v>1</v>
      </c>
      <c r="AM62">
        <f t="shared" si="60"/>
        <v>0</v>
      </c>
      <c r="AN62">
        <f t="shared" si="61"/>
        <v>0</v>
      </c>
    </row>
    <row r="63" spans="1:40" x14ac:dyDescent="0.55000000000000004">
      <c r="A63" s="3" t="s">
        <v>33</v>
      </c>
      <c r="B63" s="36">
        <f t="shared" si="78"/>
        <v>40846.026146776494</v>
      </c>
      <c r="C63" s="36">
        <f t="shared" si="79"/>
        <v>3177237.508870983</v>
      </c>
      <c r="D63" s="36">
        <f t="shared" si="80"/>
        <v>522321.42724690272</v>
      </c>
      <c r="E63" s="36">
        <f t="shared" si="81"/>
        <v>21336.514942299313</v>
      </c>
      <c r="F63" s="36">
        <f t="shared" si="62"/>
        <v>0</v>
      </c>
      <c r="G63" s="36">
        <f t="shared" si="63"/>
        <v>0</v>
      </c>
      <c r="H63" s="36">
        <f t="shared" si="64"/>
        <v>0</v>
      </c>
      <c r="I63" s="36">
        <f t="shared" si="65"/>
        <v>40846.026146776494</v>
      </c>
      <c r="J63" s="36">
        <f t="shared" si="66"/>
        <v>0</v>
      </c>
      <c r="K63" s="36">
        <f t="shared" si="82"/>
        <v>40846.026146776494</v>
      </c>
      <c r="L63" s="36">
        <f t="shared" si="67"/>
        <v>0</v>
      </c>
      <c r="M63" s="36">
        <f t="shared" si="68"/>
        <v>0</v>
      </c>
      <c r="N63" s="36">
        <f t="shared" si="69"/>
        <v>0</v>
      </c>
      <c r="O63" s="36">
        <f t="shared" si="70"/>
        <v>3177237.508870983</v>
      </c>
      <c r="P63" s="36">
        <f t="shared" si="71"/>
        <v>0</v>
      </c>
      <c r="Q63" s="36">
        <f t="shared" si="83"/>
        <v>3177237.508870983</v>
      </c>
      <c r="R63" s="36">
        <f t="shared" si="72"/>
        <v>0</v>
      </c>
      <c r="S63" s="36">
        <f t="shared" si="73"/>
        <v>0</v>
      </c>
      <c r="T63" s="36">
        <f t="shared" si="74"/>
        <v>0</v>
      </c>
      <c r="U63" s="36">
        <f t="shared" si="75"/>
        <v>522321.42724690272</v>
      </c>
      <c r="V63" s="36">
        <f t="shared" si="76"/>
        <v>0</v>
      </c>
      <c r="W63" s="36">
        <f t="shared" si="84"/>
        <v>522321.42724690272</v>
      </c>
      <c r="X63" s="36">
        <f t="shared" si="85"/>
        <v>0</v>
      </c>
      <c r="Y63" s="36">
        <f t="shared" si="86"/>
        <v>0</v>
      </c>
      <c r="Z63" s="36">
        <f t="shared" si="87"/>
        <v>0</v>
      </c>
      <c r="AA63" s="36">
        <f t="shared" si="88"/>
        <v>21336.514942299313</v>
      </c>
      <c r="AB63" s="36">
        <f t="shared" si="89"/>
        <v>0</v>
      </c>
      <c r="AC63" s="36">
        <f t="shared" si="90"/>
        <v>21336.514942299313</v>
      </c>
      <c r="AE63">
        <f t="shared" si="52"/>
        <v>0</v>
      </c>
      <c r="AF63">
        <f t="shared" si="53"/>
        <v>0</v>
      </c>
      <c r="AG63">
        <f t="shared" si="54"/>
        <v>0</v>
      </c>
      <c r="AH63">
        <f t="shared" si="55"/>
        <v>2744000000000</v>
      </c>
      <c r="AI63">
        <f t="shared" si="56"/>
        <v>0</v>
      </c>
      <c r="AJ63">
        <f t="shared" si="57"/>
        <v>0</v>
      </c>
      <c r="AK63">
        <f t="shared" si="58"/>
        <v>0</v>
      </c>
      <c r="AL63">
        <f t="shared" si="59"/>
        <v>0</v>
      </c>
      <c r="AM63">
        <f t="shared" si="60"/>
        <v>1</v>
      </c>
      <c r="AN63">
        <f t="shared" si="61"/>
        <v>0</v>
      </c>
    </row>
    <row r="64" spans="1:40" x14ac:dyDescent="0.55000000000000004">
      <c r="A64" s="3" t="s">
        <v>34</v>
      </c>
      <c r="B64" s="36">
        <f t="shared" si="78"/>
        <v>4.2776266974613746</v>
      </c>
      <c r="C64" s="36">
        <f t="shared" si="79"/>
        <v>322.82269313919949</v>
      </c>
      <c r="D64" s="36">
        <f t="shared" si="80"/>
        <v>12.859919163227811</v>
      </c>
      <c r="E64" s="36">
        <f t="shared" si="81"/>
        <v>187.97967502048849</v>
      </c>
      <c r="F64" s="36">
        <f t="shared" si="62"/>
        <v>0</v>
      </c>
      <c r="G64" s="36">
        <f t="shared" si="63"/>
        <v>4.2776266974613746</v>
      </c>
      <c r="H64" s="36">
        <f t="shared" si="64"/>
        <v>0</v>
      </c>
      <c r="I64" s="36">
        <f t="shared" si="65"/>
        <v>0</v>
      </c>
      <c r="J64" s="36">
        <f t="shared" si="66"/>
        <v>0</v>
      </c>
      <c r="K64" s="36">
        <f t="shared" si="82"/>
        <v>4.2776266974613746</v>
      </c>
      <c r="L64" s="36">
        <f t="shared" si="67"/>
        <v>0</v>
      </c>
      <c r="M64" s="36">
        <f t="shared" si="68"/>
        <v>322.82269313919949</v>
      </c>
      <c r="N64" s="36">
        <f t="shared" si="69"/>
        <v>0</v>
      </c>
      <c r="O64" s="36">
        <f t="shared" si="70"/>
        <v>0</v>
      </c>
      <c r="P64" s="36">
        <f t="shared" si="71"/>
        <v>0</v>
      </c>
      <c r="Q64" s="36">
        <f t="shared" si="83"/>
        <v>322.82269313919949</v>
      </c>
      <c r="R64" s="36">
        <f t="shared" si="72"/>
        <v>0</v>
      </c>
      <c r="S64" s="36">
        <f t="shared" si="73"/>
        <v>12.859919163227811</v>
      </c>
      <c r="T64" s="36">
        <f t="shared" si="74"/>
        <v>0</v>
      </c>
      <c r="U64" s="36">
        <f t="shared" si="75"/>
        <v>0</v>
      </c>
      <c r="V64" s="36">
        <f t="shared" si="76"/>
        <v>0</v>
      </c>
      <c r="W64" s="36">
        <f t="shared" si="84"/>
        <v>12.859919163227811</v>
      </c>
      <c r="X64" s="36">
        <f t="shared" si="85"/>
        <v>0</v>
      </c>
      <c r="Y64" s="36">
        <f t="shared" si="86"/>
        <v>187.97967502048849</v>
      </c>
      <c r="Z64" s="36">
        <f t="shared" si="87"/>
        <v>0</v>
      </c>
      <c r="AA64" s="36">
        <f t="shared" si="88"/>
        <v>0</v>
      </c>
      <c r="AB64" s="36">
        <f t="shared" si="89"/>
        <v>0</v>
      </c>
      <c r="AC64" s="36">
        <f t="shared" si="90"/>
        <v>187.97967502048849</v>
      </c>
      <c r="AE64">
        <f t="shared" si="52"/>
        <v>0</v>
      </c>
      <c r="AF64">
        <f t="shared" si="53"/>
        <v>7280000000</v>
      </c>
      <c r="AG64">
        <f t="shared" si="54"/>
        <v>0</v>
      </c>
      <c r="AH64">
        <f t="shared" si="55"/>
        <v>0</v>
      </c>
      <c r="AI64">
        <f t="shared" si="56"/>
        <v>0</v>
      </c>
      <c r="AJ64">
        <f t="shared" si="57"/>
        <v>0</v>
      </c>
      <c r="AK64">
        <f t="shared" si="58"/>
        <v>1</v>
      </c>
      <c r="AL64">
        <f t="shared" si="59"/>
        <v>0</v>
      </c>
      <c r="AM64">
        <f t="shared" si="60"/>
        <v>0</v>
      </c>
      <c r="AN64">
        <f t="shared" si="61"/>
        <v>0</v>
      </c>
    </row>
    <row r="65" spans="1:40" x14ac:dyDescent="0.55000000000000004">
      <c r="A65" s="3" t="s">
        <v>35</v>
      </c>
      <c r="B65" s="36">
        <f t="shared" si="78"/>
        <v>4.6965883341427609E-4</v>
      </c>
      <c r="C65" s="36">
        <f t="shared" si="79"/>
        <v>2.2772586588232237E-3</v>
      </c>
      <c r="D65" s="36">
        <f t="shared" si="80"/>
        <v>8.0186444461557375E-4</v>
      </c>
      <c r="E65" s="36">
        <f t="shared" si="81"/>
        <v>8.0186444461557375E-4</v>
      </c>
      <c r="F65" s="36">
        <f t="shared" si="62"/>
        <v>0</v>
      </c>
      <c r="G65" s="36">
        <f t="shared" si="63"/>
        <v>0</v>
      </c>
      <c r="H65" s="36">
        <f t="shared" si="64"/>
        <v>4.6965883341427609E-4</v>
      </c>
      <c r="I65" s="36">
        <f t="shared" si="65"/>
        <v>0</v>
      </c>
      <c r="J65" s="36">
        <f t="shared" si="66"/>
        <v>0</v>
      </c>
      <c r="K65" s="36">
        <f t="shared" si="82"/>
        <v>4.6965883341427609E-4</v>
      </c>
      <c r="L65" s="36">
        <f t="shared" si="67"/>
        <v>0</v>
      </c>
      <c r="M65" s="36">
        <f t="shared" si="68"/>
        <v>0</v>
      </c>
      <c r="N65" s="36">
        <f t="shared" si="69"/>
        <v>2.2772586588232237E-3</v>
      </c>
      <c r="O65" s="36">
        <f t="shared" si="70"/>
        <v>0</v>
      </c>
      <c r="P65" s="36">
        <f t="shared" si="71"/>
        <v>0</v>
      </c>
      <c r="Q65" s="36">
        <f t="shared" si="83"/>
        <v>2.2772586588232237E-3</v>
      </c>
      <c r="R65" s="36">
        <f t="shared" si="72"/>
        <v>0</v>
      </c>
      <c r="S65" s="36">
        <f t="shared" si="73"/>
        <v>0</v>
      </c>
      <c r="T65" s="36">
        <f t="shared" si="74"/>
        <v>8.0186444461557375E-4</v>
      </c>
      <c r="U65" s="36">
        <f t="shared" si="75"/>
        <v>0</v>
      </c>
      <c r="V65" s="36">
        <f t="shared" si="76"/>
        <v>0</v>
      </c>
      <c r="W65" s="36">
        <f t="shared" si="84"/>
        <v>8.0186444461557375E-4</v>
      </c>
      <c r="X65" s="36">
        <f t="shared" si="85"/>
        <v>0</v>
      </c>
      <c r="Y65" s="36">
        <f t="shared" si="86"/>
        <v>0</v>
      </c>
      <c r="Z65" s="36">
        <f t="shared" si="87"/>
        <v>8.0186444461557375E-4</v>
      </c>
      <c r="AA65" s="36">
        <f t="shared" si="88"/>
        <v>0</v>
      </c>
      <c r="AB65" s="36">
        <f t="shared" si="89"/>
        <v>0</v>
      </c>
      <c r="AC65" s="36">
        <f t="shared" si="90"/>
        <v>8.0186444461557375E-4</v>
      </c>
      <c r="AE65">
        <f t="shared" si="52"/>
        <v>0</v>
      </c>
      <c r="AF65">
        <f t="shared" si="53"/>
        <v>0</v>
      </c>
      <c r="AG65">
        <f t="shared" si="54"/>
        <v>12</v>
      </c>
      <c r="AH65">
        <f t="shared" si="55"/>
        <v>0</v>
      </c>
      <c r="AI65">
        <f t="shared" si="56"/>
        <v>0</v>
      </c>
      <c r="AJ65">
        <f t="shared" si="57"/>
        <v>0</v>
      </c>
      <c r="AK65">
        <f t="shared" si="58"/>
        <v>0</v>
      </c>
      <c r="AL65">
        <f t="shared" si="59"/>
        <v>260000</v>
      </c>
      <c r="AM65">
        <f t="shared" si="60"/>
        <v>0</v>
      </c>
      <c r="AN65">
        <f t="shared" si="61"/>
        <v>0</v>
      </c>
    </row>
    <row r="66" spans="1:40" x14ac:dyDescent="0.55000000000000004">
      <c r="A66" s="3" t="s">
        <v>36</v>
      </c>
      <c r="B66" s="36">
        <f t="shared" si="78"/>
        <v>3081.8471281579673</v>
      </c>
      <c r="C66" s="36">
        <f t="shared" si="79"/>
        <v>905935.11158041749</v>
      </c>
      <c r="D66" s="36">
        <f t="shared" si="80"/>
        <v>106190.12346335936</v>
      </c>
      <c r="E66" s="36">
        <f t="shared" si="81"/>
        <v>106190.12346335936</v>
      </c>
      <c r="F66" s="36">
        <f t="shared" si="62"/>
        <v>0</v>
      </c>
      <c r="G66" s="36">
        <f t="shared" si="63"/>
        <v>0</v>
      </c>
      <c r="H66" s="36">
        <f t="shared" si="64"/>
        <v>3081.8471281579673</v>
      </c>
      <c r="I66" s="36">
        <f t="shared" si="65"/>
        <v>0</v>
      </c>
      <c r="J66" s="36">
        <f t="shared" si="66"/>
        <v>0</v>
      </c>
      <c r="K66" s="36">
        <f t="shared" si="82"/>
        <v>3081.8471281579673</v>
      </c>
      <c r="L66" s="36">
        <f t="shared" si="67"/>
        <v>0</v>
      </c>
      <c r="M66" s="36">
        <f t="shared" si="68"/>
        <v>0</v>
      </c>
      <c r="N66" s="36">
        <f t="shared" si="69"/>
        <v>905935.11158041749</v>
      </c>
      <c r="O66" s="36">
        <f t="shared" si="70"/>
        <v>0</v>
      </c>
      <c r="P66" s="36">
        <f t="shared" si="71"/>
        <v>0</v>
      </c>
      <c r="Q66" s="36">
        <f t="shared" si="83"/>
        <v>905935.11158041749</v>
      </c>
      <c r="R66" s="36">
        <f t="shared" si="72"/>
        <v>0</v>
      </c>
      <c r="S66" s="36">
        <f t="shared" si="73"/>
        <v>0</v>
      </c>
      <c r="T66" s="36">
        <f t="shared" si="74"/>
        <v>106190.12346335936</v>
      </c>
      <c r="U66" s="36">
        <f t="shared" si="75"/>
        <v>0</v>
      </c>
      <c r="V66" s="36">
        <f t="shared" si="76"/>
        <v>0</v>
      </c>
      <c r="W66" s="36">
        <f t="shared" si="84"/>
        <v>106190.12346335936</v>
      </c>
      <c r="X66" s="36">
        <f t="shared" si="85"/>
        <v>0</v>
      </c>
      <c r="Y66" s="36">
        <f t="shared" si="86"/>
        <v>0</v>
      </c>
      <c r="Z66" s="36">
        <f t="shared" si="87"/>
        <v>106190.12346335936</v>
      </c>
      <c r="AA66" s="36">
        <f t="shared" si="88"/>
        <v>0</v>
      </c>
      <c r="AB66" s="36">
        <f t="shared" si="89"/>
        <v>0</v>
      </c>
      <c r="AC66" s="36">
        <f t="shared" si="90"/>
        <v>106190.12346335936</v>
      </c>
      <c r="AE66">
        <f t="shared" si="52"/>
        <v>0</v>
      </c>
      <c r="AF66">
        <f t="shared" si="53"/>
        <v>0</v>
      </c>
      <c r="AG66">
        <f t="shared" si="54"/>
        <v>50960000000000</v>
      </c>
      <c r="AH66">
        <f t="shared" si="55"/>
        <v>0</v>
      </c>
      <c r="AI66">
        <f t="shared" si="56"/>
        <v>0</v>
      </c>
      <c r="AJ66">
        <f t="shared" si="57"/>
        <v>0</v>
      </c>
      <c r="AK66">
        <f t="shared" si="58"/>
        <v>0</v>
      </c>
      <c r="AL66">
        <f t="shared" si="59"/>
        <v>1</v>
      </c>
      <c r="AM66">
        <f t="shared" si="60"/>
        <v>0</v>
      </c>
      <c r="AN66">
        <f t="shared" si="61"/>
        <v>0</v>
      </c>
    </row>
    <row r="67" spans="1:40" x14ac:dyDescent="0.55000000000000004">
      <c r="A67" s="3" t="s">
        <v>37</v>
      </c>
      <c r="B67" s="36">
        <f t="shared" si="78"/>
        <v>79.474116151815679</v>
      </c>
      <c r="C67" s="36">
        <f t="shared" si="79"/>
        <v>7373.4892586332317</v>
      </c>
      <c r="D67" s="36">
        <f t="shared" si="80"/>
        <v>1196.3755883193019</v>
      </c>
      <c r="E67" s="36">
        <f t="shared" si="81"/>
        <v>143.17944738290842</v>
      </c>
      <c r="F67" s="36">
        <f t="shared" si="62"/>
        <v>32.327541570283408</v>
      </c>
      <c r="G67" s="36">
        <f t="shared" si="63"/>
        <v>0</v>
      </c>
      <c r="H67" s="36">
        <f t="shared" si="64"/>
        <v>0</v>
      </c>
      <c r="I67" s="36">
        <f t="shared" si="65"/>
        <v>0</v>
      </c>
      <c r="J67" s="36">
        <f t="shared" si="66"/>
        <v>47.146574581532271</v>
      </c>
      <c r="K67" s="36">
        <f t="shared" si="82"/>
        <v>79.474116151815679</v>
      </c>
      <c r="L67" s="36">
        <f t="shared" si="67"/>
        <v>3361.3499902826234</v>
      </c>
      <c r="M67" s="36">
        <f t="shared" si="68"/>
        <v>0</v>
      </c>
      <c r="N67" s="36">
        <f t="shared" si="69"/>
        <v>0</v>
      </c>
      <c r="O67" s="36">
        <f t="shared" si="70"/>
        <v>0</v>
      </c>
      <c r="P67" s="36">
        <f t="shared" si="71"/>
        <v>4012.1392683506087</v>
      </c>
      <c r="Q67" s="36">
        <f t="shared" si="83"/>
        <v>7373.4892586332317</v>
      </c>
      <c r="R67" s="36">
        <f t="shared" si="72"/>
        <v>788.67714579733104</v>
      </c>
      <c r="S67" s="36">
        <f t="shared" si="73"/>
        <v>0</v>
      </c>
      <c r="T67" s="36">
        <f t="shared" si="74"/>
        <v>0</v>
      </c>
      <c r="U67" s="36">
        <f t="shared" si="75"/>
        <v>0</v>
      </c>
      <c r="V67" s="36">
        <f t="shared" si="76"/>
        <v>407.69844252197083</v>
      </c>
      <c r="W67" s="36">
        <f t="shared" si="84"/>
        <v>1196.3755883193019</v>
      </c>
      <c r="X67" s="36">
        <f t="shared" si="85"/>
        <v>137.51223209141537</v>
      </c>
      <c r="Y67" s="36">
        <f t="shared" si="86"/>
        <v>0</v>
      </c>
      <c r="Z67" s="36">
        <f t="shared" si="87"/>
        <v>0</v>
      </c>
      <c r="AA67" s="36">
        <f t="shared" si="88"/>
        <v>0</v>
      </c>
      <c r="AB67" s="36">
        <f t="shared" si="89"/>
        <v>5.6672152914930409</v>
      </c>
      <c r="AC67" s="36">
        <f t="shared" si="90"/>
        <v>143.17944738290842</v>
      </c>
      <c r="AE67">
        <f t="shared" si="52"/>
        <v>4294967296</v>
      </c>
      <c r="AF67">
        <f t="shared" si="53"/>
        <v>0</v>
      </c>
      <c r="AG67">
        <f t="shared" si="54"/>
        <v>0</v>
      </c>
      <c r="AH67">
        <f t="shared" si="55"/>
        <v>0</v>
      </c>
      <c r="AI67">
        <f t="shared" si="56"/>
        <v>201326592</v>
      </c>
      <c r="AJ67">
        <f t="shared" si="57"/>
        <v>60</v>
      </c>
      <c r="AK67">
        <f t="shared" si="58"/>
        <v>0</v>
      </c>
      <c r="AL67">
        <f t="shared" si="59"/>
        <v>0</v>
      </c>
      <c r="AM67">
        <f t="shared" si="60"/>
        <v>0</v>
      </c>
      <c r="AN67">
        <f t="shared" si="61"/>
        <v>40</v>
      </c>
    </row>
    <row r="68" spans="1:40" x14ac:dyDescent="0.55000000000000004">
      <c r="A68" s="3" t="s">
        <v>38</v>
      </c>
      <c r="B68" s="36">
        <f t="shared" si="78"/>
        <v>648.27979033191639</v>
      </c>
      <c r="C68" s="36">
        <f t="shared" si="79"/>
        <v>151836.92568383762</v>
      </c>
      <c r="D68" s="36">
        <f t="shared" si="80"/>
        <v>18914.963258996697</v>
      </c>
      <c r="E68" s="36">
        <f t="shared" si="81"/>
        <v>18914.963258996697</v>
      </c>
      <c r="F68" s="36">
        <f t="shared" si="62"/>
        <v>0</v>
      </c>
      <c r="G68" s="36">
        <f t="shared" si="63"/>
        <v>0</v>
      </c>
      <c r="H68" s="36">
        <f t="shared" si="64"/>
        <v>648.27979033191639</v>
      </c>
      <c r="I68" s="36">
        <f t="shared" si="65"/>
        <v>0</v>
      </c>
      <c r="J68" s="36">
        <f t="shared" si="66"/>
        <v>0</v>
      </c>
      <c r="K68" s="36">
        <f t="shared" si="82"/>
        <v>648.27979033191639</v>
      </c>
      <c r="L68" s="36">
        <f t="shared" si="67"/>
        <v>0</v>
      </c>
      <c r="M68" s="36">
        <f t="shared" si="68"/>
        <v>0</v>
      </c>
      <c r="N68" s="36">
        <f t="shared" si="69"/>
        <v>151836.92568383762</v>
      </c>
      <c r="O68" s="36">
        <f t="shared" si="70"/>
        <v>0</v>
      </c>
      <c r="P68" s="36">
        <f t="shared" si="71"/>
        <v>0</v>
      </c>
      <c r="Q68" s="36">
        <f t="shared" si="83"/>
        <v>151836.92568383762</v>
      </c>
      <c r="R68" s="36">
        <f t="shared" si="72"/>
        <v>0</v>
      </c>
      <c r="S68" s="36">
        <f t="shared" si="73"/>
        <v>0</v>
      </c>
      <c r="T68" s="36">
        <f t="shared" si="74"/>
        <v>18914.963258996697</v>
      </c>
      <c r="U68" s="36">
        <f t="shared" si="75"/>
        <v>0</v>
      </c>
      <c r="V68" s="36">
        <f t="shared" si="76"/>
        <v>0</v>
      </c>
      <c r="W68" s="36">
        <f t="shared" si="84"/>
        <v>18914.963258996697</v>
      </c>
      <c r="X68" s="36">
        <f t="shared" si="85"/>
        <v>0</v>
      </c>
      <c r="Y68" s="36">
        <f t="shared" si="86"/>
        <v>0</v>
      </c>
      <c r="Z68" s="36">
        <f t="shared" si="87"/>
        <v>18914.963258996697</v>
      </c>
      <c r="AA68" s="36">
        <f t="shared" si="88"/>
        <v>0</v>
      </c>
      <c r="AB68" s="36">
        <f t="shared" si="89"/>
        <v>0</v>
      </c>
      <c r="AC68" s="36">
        <f t="shared" si="90"/>
        <v>18914.963258996697</v>
      </c>
      <c r="AE68">
        <f t="shared" si="52"/>
        <v>0</v>
      </c>
      <c r="AF68">
        <f t="shared" si="53"/>
        <v>0</v>
      </c>
      <c r="AG68">
        <f t="shared" si="54"/>
        <v>10192000000000</v>
      </c>
      <c r="AH68">
        <f t="shared" si="55"/>
        <v>0</v>
      </c>
      <c r="AI68">
        <f t="shared" si="56"/>
        <v>0</v>
      </c>
      <c r="AJ68">
        <f t="shared" si="57"/>
        <v>0</v>
      </c>
      <c r="AK68">
        <f t="shared" si="58"/>
        <v>0</v>
      </c>
      <c r="AL68">
        <f t="shared" si="59"/>
        <v>1</v>
      </c>
      <c r="AM68">
        <f t="shared" si="60"/>
        <v>0</v>
      </c>
      <c r="AN68">
        <f t="shared" si="61"/>
        <v>0</v>
      </c>
    </row>
    <row r="69" spans="1:40" x14ac:dyDescent="0.55000000000000004">
      <c r="A69" s="3" t="s">
        <v>39</v>
      </c>
      <c r="B69" s="36">
        <f t="shared" si="78"/>
        <v>4.2776266974613746</v>
      </c>
      <c r="C69" s="36">
        <f t="shared" si="79"/>
        <v>322.82269313919949</v>
      </c>
      <c r="D69" s="36">
        <f t="shared" si="80"/>
        <v>12.859919163227811</v>
      </c>
      <c r="E69" s="36">
        <f t="shared" si="81"/>
        <v>187.97967502048849</v>
      </c>
      <c r="F69" s="36">
        <f t="shared" si="62"/>
        <v>0</v>
      </c>
      <c r="G69" s="36">
        <f t="shared" si="63"/>
        <v>4.2776266974613746</v>
      </c>
      <c r="H69" s="36">
        <f t="shared" si="64"/>
        <v>0</v>
      </c>
      <c r="I69" s="36">
        <f t="shared" si="65"/>
        <v>0</v>
      </c>
      <c r="J69" s="36">
        <f t="shared" si="66"/>
        <v>0</v>
      </c>
      <c r="K69" s="36">
        <f t="shared" si="82"/>
        <v>4.2776266974613746</v>
      </c>
      <c r="L69" s="36">
        <f t="shared" si="67"/>
        <v>0</v>
      </c>
      <c r="M69" s="36">
        <f t="shared" si="68"/>
        <v>322.82269313919949</v>
      </c>
      <c r="N69" s="36">
        <f t="shared" si="69"/>
        <v>0</v>
      </c>
      <c r="O69" s="36">
        <f t="shared" si="70"/>
        <v>0</v>
      </c>
      <c r="P69" s="36">
        <f t="shared" si="71"/>
        <v>0</v>
      </c>
      <c r="Q69" s="36">
        <f t="shared" si="83"/>
        <v>322.82269313919949</v>
      </c>
      <c r="R69" s="36">
        <f t="shared" si="72"/>
        <v>0</v>
      </c>
      <c r="S69" s="36">
        <f t="shared" si="73"/>
        <v>12.859919163227811</v>
      </c>
      <c r="T69" s="36">
        <f t="shared" si="74"/>
        <v>0</v>
      </c>
      <c r="U69" s="36">
        <f t="shared" si="75"/>
        <v>0</v>
      </c>
      <c r="V69" s="36">
        <f t="shared" si="76"/>
        <v>0</v>
      </c>
      <c r="W69" s="36">
        <f t="shared" si="84"/>
        <v>12.859919163227811</v>
      </c>
      <c r="X69" s="36">
        <f t="shared" si="85"/>
        <v>0</v>
      </c>
      <c r="Y69" s="36">
        <f t="shared" si="86"/>
        <v>187.97967502048849</v>
      </c>
      <c r="Z69" s="36">
        <f t="shared" si="87"/>
        <v>0</v>
      </c>
      <c r="AA69" s="36">
        <f t="shared" si="88"/>
        <v>0</v>
      </c>
      <c r="AB69" s="36">
        <f t="shared" si="89"/>
        <v>0</v>
      </c>
      <c r="AC69" s="36">
        <f t="shared" si="90"/>
        <v>187.97967502048849</v>
      </c>
      <c r="AE69">
        <f t="shared" si="52"/>
        <v>0</v>
      </c>
      <c r="AF69">
        <f t="shared" si="53"/>
        <v>7280000000</v>
      </c>
      <c r="AG69">
        <f t="shared" si="54"/>
        <v>0</v>
      </c>
      <c r="AH69">
        <f t="shared" si="55"/>
        <v>0</v>
      </c>
      <c r="AI69">
        <f t="shared" si="56"/>
        <v>0</v>
      </c>
      <c r="AJ69">
        <f t="shared" si="57"/>
        <v>0</v>
      </c>
      <c r="AK69">
        <f t="shared" si="58"/>
        <v>1</v>
      </c>
      <c r="AL69">
        <f t="shared" si="59"/>
        <v>0</v>
      </c>
      <c r="AM69">
        <f t="shared" si="60"/>
        <v>0</v>
      </c>
      <c r="AN69">
        <f t="shared" si="61"/>
        <v>0</v>
      </c>
    </row>
    <row r="70" spans="1:40" x14ac:dyDescent="0.55000000000000004">
      <c r="A70" s="3" t="s">
        <v>40</v>
      </c>
      <c r="B70" s="36">
        <f t="shared" si="78"/>
        <v>2.2382042793072501E-2</v>
      </c>
      <c r="C70" s="36">
        <f t="shared" si="79"/>
        <v>3.2406925123025618</v>
      </c>
      <c r="D70" s="36">
        <f t="shared" si="80"/>
        <v>0.53624596066465879</v>
      </c>
      <c r="E70" s="36">
        <f t="shared" si="81"/>
        <v>8.560343389790722E-3</v>
      </c>
      <c r="F70" s="36">
        <f t="shared" si="62"/>
        <v>0</v>
      </c>
      <c r="G70" s="36">
        <f t="shared" si="63"/>
        <v>0</v>
      </c>
      <c r="H70" s="36">
        <f t="shared" si="64"/>
        <v>0</v>
      </c>
      <c r="I70" s="36">
        <f t="shared" si="65"/>
        <v>0</v>
      </c>
      <c r="J70" s="36">
        <f t="shared" si="66"/>
        <v>2.2382042793072501E-2</v>
      </c>
      <c r="K70" s="36">
        <f t="shared" si="82"/>
        <v>2.2382042793072501E-2</v>
      </c>
      <c r="L70" s="36">
        <f t="shared" si="67"/>
        <v>0</v>
      </c>
      <c r="M70" s="36">
        <f t="shared" si="68"/>
        <v>0</v>
      </c>
      <c r="N70" s="36">
        <f t="shared" si="69"/>
        <v>0</v>
      </c>
      <c r="O70" s="36">
        <f t="shared" si="70"/>
        <v>0</v>
      </c>
      <c r="P70" s="36">
        <f t="shared" si="71"/>
        <v>3.2406925123025618</v>
      </c>
      <c r="Q70" s="36">
        <f t="shared" si="83"/>
        <v>3.2406925123025618</v>
      </c>
      <c r="R70" s="36">
        <f t="shared" si="72"/>
        <v>0</v>
      </c>
      <c r="S70" s="36">
        <f t="shared" si="73"/>
        <v>0</v>
      </c>
      <c r="T70" s="36">
        <f t="shared" si="74"/>
        <v>0</v>
      </c>
      <c r="U70" s="36">
        <f t="shared" si="75"/>
        <v>0</v>
      </c>
      <c r="V70" s="36">
        <f t="shared" si="76"/>
        <v>0.53624596066465879</v>
      </c>
      <c r="W70" s="36">
        <f t="shared" si="84"/>
        <v>0.53624596066465879</v>
      </c>
      <c r="X70" s="36">
        <f t="shared" si="85"/>
        <v>0</v>
      </c>
      <c r="Y70" s="36">
        <f t="shared" si="86"/>
        <v>0</v>
      </c>
      <c r="Z70" s="36">
        <f t="shared" si="87"/>
        <v>0</v>
      </c>
      <c r="AA70" s="36">
        <f t="shared" si="88"/>
        <v>0</v>
      </c>
      <c r="AB70" s="36">
        <f t="shared" si="89"/>
        <v>8.560343389790722E-3</v>
      </c>
      <c r="AC70" s="36">
        <f t="shared" si="90"/>
        <v>8.560343389790722E-3</v>
      </c>
      <c r="AE70">
        <f t="shared" si="52"/>
        <v>0</v>
      </c>
      <c r="AF70">
        <f t="shared" si="53"/>
        <v>0</v>
      </c>
      <c r="AG70">
        <f t="shared" si="54"/>
        <v>0</v>
      </c>
      <c r="AH70">
        <f t="shared" si="55"/>
        <v>0</v>
      </c>
      <c r="AI70">
        <f t="shared" si="56"/>
        <v>381321.82407288265</v>
      </c>
      <c r="AJ70">
        <f t="shared" si="57"/>
        <v>0</v>
      </c>
      <c r="AK70">
        <f t="shared" si="58"/>
        <v>0</v>
      </c>
      <c r="AL70">
        <f t="shared" si="59"/>
        <v>0</v>
      </c>
      <c r="AM70">
        <f t="shared" si="60"/>
        <v>0</v>
      </c>
      <c r="AN70">
        <f t="shared" si="61"/>
        <v>30</v>
      </c>
    </row>
    <row r="71" spans="1:40" x14ac:dyDescent="0.55000000000000004">
      <c r="A71" t="s">
        <v>41</v>
      </c>
      <c r="B71" s="36">
        <f t="shared" si="78"/>
        <v>159623.0992949105</v>
      </c>
      <c r="C71" s="36">
        <f t="shared" si="79"/>
        <v>799157.0208469287</v>
      </c>
      <c r="D71" s="36">
        <f t="shared" si="80"/>
        <v>5507666.2869919473</v>
      </c>
      <c r="E71" s="36">
        <f t="shared" si="81"/>
        <v>1306125.9228075619</v>
      </c>
      <c r="F71" s="36">
        <f t="shared" si="62"/>
        <v>159623.0992949105</v>
      </c>
      <c r="G71" s="36">
        <f t="shared" si="63"/>
        <v>0</v>
      </c>
      <c r="H71" s="36">
        <f t="shared" si="64"/>
        <v>0</v>
      </c>
      <c r="I71" s="36">
        <f t="shared" si="65"/>
        <v>0</v>
      </c>
      <c r="J71" s="36">
        <f t="shared" si="66"/>
        <v>0</v>
      </c>
      <c r="K71" s="36">
        <f t="shared" si="82"/>
        <v>159623.0992949105</v>
      </c>
      <c r="L71" s="36">
        <f t="shared" si="67"/>
        <v>799157.0208469287</v>
      </c>
      <c r="M71" s="36">
        <f t="shared" si="68"/>
        <v>0</v>
      </c>
      <c r="N71" s="36">
        <f t="shared" si="69"/>
        <v>0</v>
      </c>
      <c r="O71" s="36">
        <f t="shared" si="70"/>
        <v>0</v>
      </c>
      <c r="P71" s="36">
        <f t="shared" si="71"/>
        <v>0</v>
      </c>
      <c r="Q71" s="36">
        <f t="shared" si="83"/>
        <v>799157.0208469287</v>
      </c>
      <c r="R71" s="36">
        <f t="shared" si="72"/>
        <v>5507666.2869919473</v>
      </c>
      <c r="S71" s="36">
        <f t="shared" si="73"/>
        <v>0</v>
      </c>
      <c r="T71" s="36">
        <f t="shared" si="74"/>
        <v>0</v>
      </c>
      <c r="U71" s="36">
        <f t="shared" si="75"/>
        <v>0</v>
      </c>
      <c r="V71" s="36">
        <f t="shared" si="76"/>
        <v>0</v>
      </c>
      <c r="W71" s="36">
        <f t="shared" si="84"/>
        <v>5507666.2869919473</v>
      </c>
      <c r="X71" s="36">
        <f t="shared" si="85"/>
        <v>1306125.9228075619</v>
      </c>
      <c r="Y71" s="36">
        <f t="shared" si="86"/>
        <v>0</v>
      </c>
      <c r="Z71" s="36">
        <f t="shared" si="87"/>
        <v>0</v>
      </c>
      <c r="AA71" s="36">
        <f t="shared" si="88"/>
        <v>0</v>
      </c>
      <c r="AB71" s="36">
        <f t="shared" si="89"/>
        <v>0</v>
      </c>
      <c r="AC71" s="36">
        <f t="shared" si="90"/>
        <v>1306125.9228075619</v>
      </c>
      <c r="AE71">
        <f t="shared" si="52"/>
        <v>84000</v>
      </c>
      <c r="AF71">
        <f t="shared" si="53"/>
        <v>0</v>
      </c>
      <c r="AG71">
        <f t="shared" si="54"/>
        <v>0</v>
      </c>
      <c r="AH71">
        <f t="shared" si="55"/>
        <v>0</v>
      </c>
      <c r="AI71">
        <f t="shared" si="56"/>
        <v>0</v>
      </c>
      <c r="AJ71">
        <f t="shared" si="57"/>
        <v>29120000000</v>
      </c>
      <c r="AK71">
        <f t="shared" si="58"/>
        <v>0</v>
      </c>
      <c r="AL71">
        <f t="shared" si="59"/>
        <v>0</v>
      </c>
      <c r="AM71">
        <f t="shared" si="60"/>
        <v>0</v>
      </c>
      <c r="AN71">
        <f t="shared" si="61"/>
        <v>0</v>
      </c>
    </row>
    <row r="73" spans="1:40" x14ac:dyDescent="0.55000000000000004">
      <c r="A73" s="137" t="s">
        <v>139</v>
      </c>
      <c r="B73" s="137"/>
      <c r="C73" s="137"/>
      <c r="D73" s="137"/>
      <c r="E73" s="111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AE73" t="str">
        <f t="shared" ref="AE73:AE86" si="91">AU1</f>
        <v>LUVOIR-A</v>
      </c>
      <c r="AF73">
        <f t="shared" ref="AF73:AF86" si="92">AV1</f>
        <v>0</v>
      </c>
      <c r="AG73">
        <f t="shared" ref="AG73:AG86" si="93">AW1</f>
        <v>0</v>
      </c>
      <c r="AH73">
        <f t="shared" ref="AH73:AH86" si="94">AX1</f>
        <v>0</v>
      </c>
      <c r="AI73">
        <f t="shared" ref="AI73:AI86" si="95">AY1</f>
        <v>0</v>
      </c>
      <c r="AJ73">
        <f t="shared" ref="AJ73:AJ86" si="96">AZ1</f>
        <v>0</v>
      </c>
      <c r="AK73">
        <f t="shared" ref="AK73:AK86" si="97">BA1</f>
        <v>0</v>
      </c>
      <c r="AL73">
        <f t="shared" ref="AL73:AL86" si="98">BB1</f>
        <v>0</v>
      </c>
      <c r="AM73">
        <f t="shared" ref="AM73:AM86" si="99">BC1</f>
        <v>0</v>
      </c>
      <c r="AN73">
        <f t="shared" ref="AN73:AN86" si="100">BD1</f>
        <v>0</v>
      </c>
    </row>
    <row r="74" spans="1:40" x14ac:dyDescent="0.55000000000000004">
      <c r="A74" s="75"/>
      <c r="B74" s="147" t="s">
        <v>171</v>
      </c>
      <c r="C74" s="147"/>
      <c r="D74" s="147"/>
      <c r="E74" s="114"/>
      <c r="F74" s="131" t="s">
        <v>170</v>
      </c>
      <c r="G74" s="131"/>
      <c r="H74" s="131"/>
      <c r="I74" s="131"/>
      <c r="J74" s="131"/>
      <c r="K74" s="131"/>
      <c r="L74" s="131"/>
      <c r="M74" s="131"/>
      <c r="N74" s="131"/>
      <c r="O74" s="131"/>
      <c r="P74" s="131"/>
      <c r="Q74" s="131"/>
      <c r="R74" s="131"/>
      <c r="S74" s="131"/>
      <c r="T74" s="131"/>
      <c r="U74" s="131"/>
      <c r="V74" s="131"/>
      <c r="W74" s="131"/>
      <c r="X74" s="131"/>
      <c r="Y74" s="131"/>
      <c r="AE74" t="str">
        <f t="shared" si="91"/>
        <v>Size of Operations Required</v>
      </c>
      <c r="AF74">
        <f t="shared" si="92"/>
        <v>0</v>
      </c>
      <c r="AG74">
        <f t="shared" si="93"/>
        <v>0</v>
      </c>
      <c r="AH74">
        <f t="shared" si="94"/>
        <v>0</v>
      </c>
      <c r="AI74">
        <f t="shared" si="95"/>
        <v>0</v>
      </c>
      <c r="AJ74" t="str">
        <f t="shared" si="96"/>
        <v>Scale Factor</v>
      </c>
      <c r="AK74">
        <f t="shared" si="97"/>
        <v>0</v>
      </c>
      <c r="AL74">
        <f t="shared" si="98"/>
        <v>0</v>
      </c>
      <c r="AM74">
        <f t="shared" si="99"/>
        <v>0</v>
      </c>
      <c r="AN74">
        <f t="shared" si="100"/>
        <v>0</v>
      </c>
    </row>
    <row r="75" spans="1:40" x14ac:dyDescent="0.55000000000000004">
      <c r="A75" s="17" t="s">
        <v>134</v>
      </c>
      <c r="B75" t="s">
        <v>165</v>
      </c>
      <c r="C75" t="s">
        <v>84</v>
      </c>
      <c r="D75" t="s">
        <v>90</v>
      </c>
      <c r="E75" t="s">
        <v>217</v>
      </c>
      <c r="F75" s="36"/>
      <c r="AE75" t="str">
        <f t="shared" si="91"/>
        <v>GEMM</v>
      </c>
      <c r="AF75" t="str">
        <f t="shared" si="92"/>
        <v>GEMV</v>
      </c>
      <c r="AG75" t="str">
        <f t="shared" si="93"/>
        <v>Gram</v>
      </c>
      <c r="AH75" t="str">
        <f t="shared" si="94"/>
        <v>QR</v>
      </c>
      <c r="AI75" t="str">
        <f t="shared" si="95"/>
        <v>2D FFT</v>
      </c>
      <c r="AJ75" t="str">
        <f t="shared" si="96"/>
        <v>GEMM</v>
      </c>
      <c r="AK75" t="str">
        <f t="shared" si="97"/>
        <v>GEMV</v>
      </c>
      <c r="AL75" t="str">
        <f t="shared" si="98"/>
        <v>Gram</v>
      </c>
      <c r="AM75" t="str">
        <f t="shared" si="99"/>
        <v>QR</v>
      </c>
      <c r="AN75" t="str">
        <f t="shared" si="100"/>
        <v>2D FFT</v>
      </c>
    </row>
    <row r="76" spans="1:40" x14ac:dyDescent="0.55000000000000004">
      <c r="A76" s="5" t="s">
        <v>31</v>
      </c>
      <c r="B76" s="36">
        <f>K76</f>
        <v>28972354.540812105</v>
      </c>
      <c r="C76" s="36">
        <f>Q76</f>
        <v>3867741678.7245321</v>
      </c>
      <c r="D76" s="36">
        <f>W76</f>
        <v>441518973.92819321</v>
      </c>
      <c r="E76" s="36">
        <f>AC76</f>
        <v>58456710.987276308</v>
      </c>
      <c r="F76" s="36">
        <f t="shared" ref="F76:F86" si="101">F$41*AE76^F$42 *AJ76</f>
        <v>15244168.504245907</v>
      </c>
      <c r="G76" s="36">
        <f t="shared" ref="G76:G86" si="102">G$41*AF76^G$42 *AK76</f>
        <v>0</v>
      </c>
      <c r="H76" s="36">
        <f t="shared" ref="H76:H86" si="103">H$41*AG76^H$42 *AL76</f>
        <v>0</v>
      </c>
      <c r="I76" s="36">
        <f t="shared" ref="I76:I86" si="104">I$41*AH76^I$42 *AM76</f>
        <v>0</v>
      </c>
      <c r="J76" s="36">
        <f t="shared" ref="J76:J86" si="105">J$41*AI76^J$42 *AN76</f>
        <v>13728186.036566196</v>
      </c>
      <c r="K76" s="36">
        <f>SUM(F76:J76)</f>
        <v>28972354.540812105</v>
      </c>
      <c r="L76" s="36">
        <f t="shared" ref="L76:L86" si="106">L$41*AE76^L$42 *AJ76</f>
        <v>2836045768.8741927</v>
      </c>
      <c r="M76" s="36">
        <f t="shared" ref="M76:M86" si="107">M$41*AF76^M$42 *AK76</f>
        <v>0</v>
      </c>
      <c r="N76" s="36">
        <f t="shared" ref="N76:N86" si="108">N$41*AG76^N$42 *AL76</f>
        <v>0</v>
      </c>
      <c r="O76" s="36">
        <f t="shared" ref="O76:O86" si="109">O$41*AH76^O$42 *AM76</f>
        <v>0</v>
      </c>
      <c r="P76" s="36">
        <f t="shared" ref="P76:P86" si="110">P$41*AI76^P$42 *AN76</f>
        <v>1031695909.8503395</v>
      </c>
      <c r="Q76" s="36">
        <f>SUM(L76:P76)</f>
        <v>3867741678.7245321</v>
      </c>
      <c r="R76" s="36">
        <f t="shared" ref="R76:R86" si="111">R$41*AE76^R$42 *AJ76</f>
        <v>347982053.24538493</v>
      </c>
      <c r="S76" s="36">
        <f t="shared" ref="S76:S86" si="112">S$41*AF76^S$42 *AK76</f>
        <v>0</v>
      </c>
      <c r="T76" s="36">
        <f t="shared" ref="T76:T86" si="113">T$41*AG76^T$42 *AL76</f>
        <v>0</v>
      </c>
      <c r="U76" s="36">
        <f t="shared" ref="U76:U86" si="114">U$41*AH76^U$42 *AM76</f>
        <v>0</v>
      </c>
      <c r="V76" s="36">
        <f t="shared" ref="V76:V86" si="115">V$41*AI76^V$42 *AN76</f>
        <v>93536920.682808265</v>
      </c>
      <c r="W76" s="36">
        <f>SUM(R76:V76)</f>
        <v>441518973.92819321</v>
      </c>
      <c r="X76" s="36">
        <f>X$41*AE76^X$42 *AJ76</f>
        <v>57197909.999514125</v>
      </c>
      <c r="Y76" s="36">
        <f t="shared" ref="Y76:AB76" si="116">Y$41*AF76^Y$42 *AK76</f>
        <v>0</v>
      </c>
      <c r="Z76" s="36">
        <f t="shared" si="116"/>
        <v>0</v>
      </c>
      <c r="AA76" s="36">
        <f t="shared" si="116"/>
        <v>0</v>
      </c>
      <c r="AB76" s="36">
        <f t="shared" si="116"/>
        <v>1258800.9877621827</v>
      </c>
      <c r="AC76" s="36">
        <f>SUM(X76:AB76)</f>
        <v>58456710.987276308</v>
      </c>
      <c r="AE76">
        <f t="shared" si="91"/>
        <v>34359738368</v>
      </c>
      <c r="AF76">
        <f t="shared" si="92"/>
        <v>0</v>
      </c>
      <c r="AG76">
        <f t="shared" si="93"/>
        <v>0</v>
      </c>
      <c r="AH76">
        <f t="shared" si="94"/>
        <v>0</v>
      </c>
      <c r="AI76">
        <f t="shared" si="95"/>
        <v>872415232</v>
      </c>
      <c r="AJ76">
        <f t="shared" si="96"/>
        <v>3120000</v>
      </c>
      <c r="AK76">
        <f t="shared" si="97"/>
        <v>0</v>
      </c>
      <c r="AL76">
        <f t="shared" si="98"/>
        <v>0</v>
      </c>
      <c r="AM76">
        <f t="shared" si="99"/>
        <v>0</v>
      </c>
      <c r="AN76">
        <f t="shared" si="100"/>
        <v>2080000</v>
      </c>
    </row>
    <row r="77" spans="1:40" x14ac:dyDescent="0.55000000000000004">
      <c r="A77" s="3" t="s">
        <v>32</v>
      </c>
      <c r="B77" s="36">
        <f t="shared" ref="B77:B86" si="117">K77</f>
        <v>75203.25618936235</v>
      </c>
      <c r="C77" s="36">
        <f t="shared" ref="C77:C86" si="118">Q77</f>
        <v>35214536.877617769</v>
      </c>
      <c r="D77" s="36">
        <f t="shared" ref="D77:D86" si="119">W77</f>
        <v>3643554.7187923137</v>
      </c>
      <c r="E77" s="36">
        <f t="shared" ref="E77:E86" si="120">AC77</f>
        <v>3643554.7187923137</v>
      </c>
      <c r="F77" s="36">
        <f t="shared" si="101"/>
        <v>0</v>
      </c>
      <c r="G77" s="36">
        <f t="shared" si="102"/>
        <v>0</v>
      </c>
      <c r="H77" s="36">
        <f t="shared" si="103"/>
        <v>75203.25618936235</v>
      </c>
      <c r="I77" s="36">
        <f t="shared" si="104"/>
        <v>0</v>
      </c>
      <c r="J77" s="36">
        <f t="shared" si="105"/>
        <v>0</v>
      </c>
      <c r="K77" s="36">
        <f t="shared" ref="K77:K86" si="121">SUM(F77:J77)</f>
        <v>75203.25618936235</v>
      </c>
      <c r="L77" s="36">
        <f t="shared" si="106"/>
        <v>0</v>
      </c>
      <c r="M77" s="36">
        <f t="shared" si="107"/>
        <v>0</v>
      </c>
      <c r="N77" s="36">
        <f t="shared" si="108"/>
        <v>35214536.877617769</v>
      </c>
      <c r="O77" s="36">
        <f t="shared" si="109"/>
        <v>0</v>
      </c>
      <c r="P77" s="36">
        <f t="shared" si="110"/>
        <v>0</v>
      </c>
      <c r="Q77" s="36">
        <f t="shared" ref="Q77:Q86" si="122">SUM(L77:P77)</f>
        <v>35214536.877617769</v>
      </c>
      <c r="R77" s="36">
        <f t="shared" si="111"/>
        <v>0</v>
      </c>
      <c r="S77" s="36">
        <f t="shared" si="112"/>
        <v>0</v>
      </c>
      <c r="T77" s="36">
        <f t="shared" si="113"/>
        <v>3643554.7187923137</v>
      </c>
      <c r="U77" s="36">
        <f t="shared" si="114"/>
        <v>0</v>
      </c>
      <c r="V77" s="36">
        <f t="shared" si="115"/>
        <v>0</v>
      </c>
      <c r="W77" s="36">
        <f t="shared" ref="W77:W86" si="123">SUM(R77:V77)</f>
        <v>3643554.7187923137</v>
      </c>
      <c r="X77" s="36">
        <f t="shared" ref="X77:X86" si="124">X$41*AE77^X$42 *AJ77</f>
        <v>0</v>
      </c>
      <c r="Y77" s="36">
        <f t="shared" ref="Y77:Y86" si="125">Y$41*AF77^Y$42 *AK77</f>
        <v>0</v>
      </c>
      <c r="Z77" s="36">
        <f t="shared" ref="Z77:Z86" si="126">Z$41*AG77^Z$42 *AL77</f>
        <v>3643554.7187923137</v>
      </c>
      <c r="AA77" s="36">
        <f t="shared" ref="AA77:AA86" si="127">AA$41*AH77^AA$42 *AM77</f>
        <v>0</v>
      </c>
      <c r="AB77" s="36">
        <f t="shared" ref="AB77:AB86" si="128">AB$41*AI77^AB$42 *AN77</f>
        <v>0</v>
      </c>
      <c r="AC77" s="36">
        <f t="shared" ref="AC77:AC86" si="129">SUM(X77:AB77)</f>
        <v>3643554.7187923137</v>
      </c>
      <c r="AE77">
        <f t="shared" si="91"/>
        <v>0</v>
      </c>
      <c r="AF77">
        <f t="shared" si="92"/>
        <v>0</v>
      </c>
      <c r="AG77">
        <f t="shared" si="93"/>
        <v>1379040000000000</v>
      </c>
      <c r="AH77">
        <f t="shared" si="94"/>
        <v>0</v>
      </c>
      <c r="AI77">
        <f t="shared" si="95"/>
        <v>0</v>
      </c>
      <c r="AJ77">
        <f t="shared" si="96"/>
        <v>0</v>
      </c>
      <c r="AK77">
        <f t="shared" si="97"/>
        <v>0</v>
      </c>
      <c r="AL77">
        <f t="shared" si="98"/>
        <v>1</v>
      </c>
      <c r="AM77">
        <f t="shared" si="99"/>
        <v>0</v>
      </c>
      <c r="AN77">
        <f t="shared" si="100"/>
        <v>0</v>
      </c>
    </row>
    <row r="78" spans="1:40" x14ac:dyDescent="0.55000000000000004">
      <c r="A78" s="3" t="s">
        <v>33</v>
      </c>
      <c r="B78" s="36">
        <f t="shared" si="117"/>
        <v>398610.19121034775</v>
      </c>
      <c r="C78" s="36">
        <f t="shared" si="118"/>
        <v>23924200.316189438</v>
      </c>
      <c r="D78" s="36">
        <f t="shared" si="119"/>
        <v>5180456.4849487683</v>
      </c>
      <c r="E78" s="36">
        <f t="shared" si="120"/>
        <v>137528.575900597</v>
      </c>
      <c r="F78" s="36">
        <f t="shared" si="101"/>
        <v>0</v>
      </c>
      <c r="G78" s="36">
        <f t="shared" si="102"/>
        <v>0</v>
      </c>
      <c r="H78" s="36">
        <f t="shared" si="103"/>
        <v>0</v>
      </c>
      <c r="I78" s="36">
        <f t="shared" si="104"/>
        <v>398610.19121034775</v>
      </c>
      <c r="J78" s="36">
        <f t="shared" si="105"/>
        <v>0</v>
      </c>
      <c r="K78" s="36">
        <f t="shared" si="121"/>
        <v>398610.19121034775</v>
      </c>
      <c r="L78" s="36">
        <f t="shared" si="106"/>
        <v>0</v>
      </c>
      <c r="M78" s="36">
        <f t="shared" si="107"/>
        <v>0</v>
      </c>
      <c r="N78" s="36">
        <f t="shared" si="108"/>
        <v>0</v>
      </c>
      <c r="O78" s="36">
        <f t="shared" si="109"/>
        <v>23924200.316189438</v>
      </c>
      <c r="P78" s="36">
        <f t="shared" si="110"/>
        <v>0</v>
      </c>
      <c r="Q78" s="36">
        <f t="shared" si="122"/>
        <v>23924200.316189438</v>
      </c>
      <c r="R78" s="36">
        <f t="shared" si="111"/>
        <v>0</v>
      </c>
      <c r="S78" s="36">
        <f t="shared" si="112"/>
        <v>0</v>
      </c>
      <c r="T78" s="36">
        <f t="shared" si="113"/>
        <v>0</v>
      </c>
      <c r="U78" s="36">
        <f t="shared" si="114"/>
        <v>5180456.4849487683</v>
      </c>
      <c r="V78" s="36">
        <f t="shared" si="115"/>
        <v>0</v>
      </c>
      <c r="W78" s="36">
        <f t="shared" si="123"/>
        <v>5180456.4849487683</v>
      </c>
      <c r="X78" s="36">
        <f t="shared" si="124"/>
        <v>0</v>
      </c>
      <c r="Y78" s="36">
        <f t="shared" si="125"/>
        <v>0</v>
      </c>
      <c r="Z78" s="36">
        <f t="shared" si="126"/>
        <v>0</v>
      </c>
      <c r="AA78" s="36">
        <f t="shared" si="127"/>
        <v>137528.575900597</v>
      </c>
      <c r="AB78" s="36">
        <f t="shared" si="128"/>
        <v>0</v>
      </c>
      <c r="AC78" s="36">
        <f t="shared" si="129"/>
        <v>137528.575900597</v>
      </c>
      <c r="AE78">
        <f t="shared" si="91"/>
        <v>0</v>
      </c>
      <c r="AF78">
        <f t="shared" si="92"/>
        <v>0</v>
      </c>
      <c r="AG78">
        <f t="shared" si="93"/>
        <v>0</v>
      </c>
      <c r="AH78">
        <f t="shared" si="94"/>
        <v>17576000000000</v>
      </c>
      <c r="AI78">
        <f t="shared" si="95"/>
        <v>0</v>
      </c>
      <c r="AJ78">
        <f t="shared" si="96"/>
        <v>0</v>
      </c>
      <c r="AK78">
        <f t="shared" si="97"/>
        <v>0</v>
      </c>
      <c r="AL78">
        <f t="shared" si="98"/>
        <v>0</v>
      </c>
      <c r="AM78">
        <f t="shared" si="99"/>
        <v>1</v>
      </c>
      <c r="AN78">
        <f t="shared" si="100"/>
        <v>0</v>
      </c>
    </row>
    <row r="79" spans="1:40" x14ac:dyDescent="0.55000000000000004">
      <c r="A79" s="3" t="s">
        <v>34</v>
      </c>
      <c r="B79" s="36">
        <f t="shared" si="117"/>
        <v>31.376278499999671</v>
      </c>
      <c r="C79" s="36">
        <f t="shared" si="118"/>
        <v>2343.9864485809981</v>
      </c>
      <c r="D79" s="36">
        <f t="shared" si="119"/>
        <v>93.85324105801071</v>
      </c>
      <c r="E79" s="36">
        <f t="shared" si="120"/>
        <v>1999.1529412818691</v>
      </c>
      <c r="F79" s="36">
        <f t="shared" si="101"/>
        <v>0</v>
      </c>
      <c r="G79" s="36">
        <f t="shared" si="102"/>
        <v>31.376278499999671</v>
      </c>
      <c r="H79" s="36">
        <f t="shared" si="103"/>
        <v>0</v>
      </c>
      <c r="I79" s="36">
        <f t="shared" si="104"/>
        <v>0</v>
      </c>
      <c r="J79" s="36">
        <f t="shared" si="105"/>
        <v>0</v>
      </c>
      <c r="K79" s="36">
        <f t="shared" si="121"/>
        <v>31.376278499999671</v>
      </c>
      <c r="L79" s="36">
        <f t="shared" si="106"/>
        <v>0</v>
      </c>
      <c r="M79" s="36">
        <f t="shared" si="107"/>
        <v>2343.9864485809981</v>
      </c>
      <c r="N79" s="36">
        <f t="shared" si="108"/>
        <v>0</v>
      </c>
      <c r="O79" s="36">
        <f t="shared" si="109"/>
        <v>0</v>
      </c>
      <c r="P79" s="36">
        <f t="shared" si="110"/>
        <v>0</v>
      </c>
      <c r="Q79" s="36">
        <f t="shared" si="122"/>
        <v>2343.9864485809981</v>
      </c>
      <c r="R79" s="36">
        <f t="shared" si="111"/>
        <v>0</v>
      </c>
      <c r="S79" s="36">
        <f t="shared" si="112"/>
        <v>93.85324105801071</v>
      </c>
      <c r="T79" s="36">
        <f t="shared" si="113"/>
        <v>0</v>
      </c>
      <c r="U79" s="36">
        <f t="shared" si="114"/>
        <v>0</v>
      </c>
      <c r="V79" s="36">
        <f t="shared" si="115"/>
        <v>0</v>
      </c>
      <c r="W79" s="36">
        <f t="shared" si="123"/>
        <v>93.85324105801071</v>
      </c>
      <c r="X79" s="36">
        <f t="shared" si="124"/>
        <v>0</v>
      </c>
      <c r="Y79" s="36">
        <f t="shared" si="125"/>
        <v>1999.1529412818691</v>
      </c>
      <c r="Z79" s="36">
        <f t="shared" si="126"/>
        <v>0</v>
      </c>
      <c r="AA79" s="36">
        <f t="shared" si="127"/>
        <v>0</v>
      </c>
      <c r="AB79" s="36">
        <f t="shared" si="128"/>
        <v>0</v>
      </c>
      <c r="AC79" s="36">
        <f t="shared" si="129"/>
        <v>1999.1529412818691</v>
      </c>
      <c r="AE79">
        <f t="shared" si="91"/>
        <v>0</v>
      </c>
      <c r="AF79">
        <f t="shared" si="92"/>
        <v>53040000000</v>
      </c>
      <c r="AG79">
        <f t="shared" si="93"/>
        <v>0</v>
      </c>
      <c r="AH79">
        <f t="shared" si="94"/>
        <v>0</v>
      </c>
      <c r="AI79">
        <f t="shared" si="95"/>
        <v>0</v>
      </c>
      <c r="AJ79">
        <f t="shared" si="96"/>
        <v>0</v>
      </c>
      <c r="AK79">
        <f t="shared" si="97"/>
        <v>1</v>
      </c>
      <c r="AL79">
        <f t="shared" si="98"/>
        <v>0</v>
      </c>
      <c r="AM79">
        <f t="shared" si="99"/>
        <v>0</v>
      </c>
      <c r="AN79">
        <f t="shared" si="100"/>
        <v>0</v>
      </c>
    </row>
    <row r="80" spans="1:40" x14ac:dyDescent="0.55000000000000004">
      <c r="A80" s="3" t="s">
        <v>35</v>
      </c>
      <c r="B80" s="36">
        <f t="shared" si="117"/>
        <v>1.8425077310867755E-3</v>
      </c>
      <c r="C80" s="36">
        <f t="shared" si="118"/>
        <v>8.9338608923064944E-3</v>
      </c>
      <c r="D80" s="36">
        <f t="shared" si="119"/>
        <v>3.1457758981072509E-3</v>
      </c>
      <c r="E80" s="36">
        <f t="shared" si="120"/>
        <v>3.1457758981072509E-3</v>
      </c>
      <c r="F80" s="36">
        <f t="shared" si="101"/>
        <v>0</v>
      </c>
      <c r="G80" s="36">
        <f t="shared" si="102"/>
        <v>0</v>
      </c>
      <c r="H80" s="36">
        <f t="shared" si="103"/>
        <v>1.8425077310867755E-3</v>
      </c>
      <c r="I80" s="36">
        <f t="shared" si="104"/>
        <v>0</v>
      </c>
      <c r="J80" s="36">
        <f t="shared" si="105"/>
        <v>0</v>
      </c>
      <c r="K80" s="36">
        <f t="shared" si="121"/>
        <v>1.8425077310867755E-3</v>
      </c>
      <c r="L80" s="36">
        <f t="shared" si="106"/>
        <v>0</v>
      </c>
      <c r="M80" s="36">
        <f t="shared" si="107"/>
        <v>0</v>
      </c>
      <c r="N80" s="36">
        <f t="shared" si="108"/>
        <v>8.9338608923064944E-3</v>
      </c>
      <c r="O80" s="36">
        <f t="shared" si="109"/>
        <v>0</v>
      </c>
      <c r="P80" s="36">
        <f t="shared" si="110"/>
        <v>0</v>
      </c>
      <c r="Q80" s="36">
        <f t="shared" si="122"/>
        <v>8.9338608923064944E-3</v>
      </c>
      <c r="R80" s="36">
        <f t="shared" si="111"/>
        <v>0</v>
      </c>
      <c r="S80" s="36">
        <f t="shared" si="112"/>
        <v>0</v>
      </c>
      <c r="T80" s="36">
        <f t="shared" si="113"/>
        <v>3.1457758981072509E-3</v>
      </c>
      <c r="U80" s="36">
        <f t="shared" si="114"/>
        <v>0</v>
      </c>
      <c r="V80" s="36">
        <f t="shared" si="115"/>
        <v>0</v>
      </c>
      <c r="W80" s="36">
        <f t="shared" si="123"/>
        <v>3.1457758981072509E-3</v>
      </c>
      <c r="X80" s="36">
        <f t="shared" si="124"/>
        <v>0</v>
      </c>
      <c r="Y80" s="36">
        <f t="shared" si="125"/>
        <v>0</v>
      </c>
      <c r="Z80" s="36">
        <f t="shared" si="126"/>
        <v>3.1457758981072509E-3</v>
      </c>
      <c r="AA80" s="36">
        <f t="shared" si="127"/>
        <v>0</v>
      </c>
      <c r="AB80" s="36">
        <f t="shared" si="128"/>
        <v>0</v>
      </c>
      <c r="AC80" s="36">
        <f t="shared" si="129"/>
        <v>3.1457758981072509E-3</v>
      </c>
      <c r="AE80">
        <f t="shared" si="91"/>
        <v>0</v>
      </c>
      <c r="AF80">
        <f t="shared" si="92"/>
        <v>0</v>
      </c>
      <c r="AG80">
        <f t="shared" si="93"/>
        <v>12</v>
      </c>
      <c r="AH80">
        <f t="shared" si="94"/>
        <v>0</v>
      </c>
      <c r="AI80">
        <f t="shared" si="95"/>
        <v>0</v>
      </c>
      <c r="AJ80">
        <f t="shared" si="96"/>
        <v>0</v>
      </c>
      <c r="AK80">
        <f t="shared" si="97"/>
        <v>0</v>
      </c>
      <c r="AL80">
        <f t="shared" si="98"/>
        <v>1020000</v>
      </c>
      <c r="AM80">
        <f t="shared" si="99"/>
        <v>0</v>
      </c>
      <c r="AN80">
        <f t="shared" si="100"/>
        <v>0</v>
      </c>
    </row>
    <row r="81" spans="1:40" x14ac:dyDescent="0.55000000000000004">
      <c r="A81" s="3" t="s">
        <v>36</v>
      </c>
      <c r="B81" s="36">
        <f t="shared" si="117"/>
        <v>38427.991029250894</v>
      </c>
      <c r="C81" s="36">
        <f t="shared" si="118"/>
        <v>16316901.616048621</v>
      </c>
      <c r="D81" s="36">
        <f t="shared" si="119"/>
        <v>1733119.6944841379</v>
      </c>
      <c r="E81" s="36">
        <f t="shared" si="120"/>
        <v>1733119.6944841379</v>
      </c>
      <c r="F81" s="36">
        <f t="shared" si="101"/>
        <v>0</v>
      </c>
      <c r="G81" s="36">
        <f t="shared" si="102"/>
        <v>0</v>
      </c>
      <c r="H81" s="36">
        <f t="shared" si="103"/>
        <v>38427.991029250894</v>
      </c>
      <c r="I81" s="36">
        <f t="shared" si="104"/>
        <v>0</v>
      </c>
      <c r="J81" s="36">
        <f t="shared" si="105"/>
        <v>0</v>
      </c>
      <c r="K81" s="36">
        <f t="shared" si="121"/>
        <v>38427.991029250894</v>
      </c>
      <c r="L81" s="36">
        <f t="shared" si="106"/>
        <v>0</v>
      </c>
      <c r="M81" s="36">
        <f t="shared" si="107"/>
        <v>0</v>
      </c>
      <c r="N81" s="36">
        <f t="shared" si="108"/>
        <v>16316901.616048621</v>
      </c>
      <c r="O81" s="36">
        <f t="shared" si="109"/>
        <v>0</v>
      </c>
      <c r="P81" s="36">
        <f t="shared" si="110"/>
        <v>0</v>
      </c>
      <c r="Q81" s="36">
        <f t="shared" si="122"/>
        <v>16316901.616048621</v>
      </c>
      <c r="R81" s="36">
        <f t="shared" si="111"/>
        <v>0</v>
      </c>
      <c r="S81" s="36">
        <f t="shared" si="112"/>
        <v>0</v>
      </c>
      <c r="T81" s="36">
        <f t="shared" si="113"/>
        <v>1733119.6944841379</v>
      </c>
      <c r="U81" s="36">
        <f t="shared" si="114"/>
        <v>0</v>
      </c>
      <c r="V81" s="36">
        <f t="shared" si="115"/>
        <v>0</v>
      </c>
      <c r="W81" s="36">
        <f t="shared" si="123"/>
        <v>1733119.6944841379</v>
      </c>
      <c r="X81" s="36">
        <f t="shared" si="124"/>
        <v>0</v>
      </c>
      <c r="Y81" s="36">
        <f t="shared" si="125"/>
        <v>0</v>
      </c>
      <c r="Z81" s="36">
        <f t="shared" si="126"/>
        <v>1733119.6944841379</v>
      </c>
      <c r="AA81" s="36">
        <f t="shared" si="127"/>
        <v>0</v>
      </c>
      <c r="AB81" s="36">
        <f t="shared" si="128"/>
        <v>0</v>
      </c>
      <c r="AC81" s="36">
        <f t="shared" si="129"/>
        <v>1733119.6944841379</v>
      </c>
      <c r="AE81">
        <f t="shared" si="91"/>
        <v>0</v>
      </c>
      <c r="AF81">
        <f t="shared" si="92"/>
        <v>0</v>
      </c>
      <c r="AG81">
        <f t="shared" si="93"/>
        <v>689520000000000</v>
      </c>
      <c r="AH81">
        <f t="shared" si="94"/>
        <v>0</v>
      </c>
      <c r="AI81">
        <f t="shared" si="95"/>
        <v>0</v>
      </c>
      <c r="AJ81">
        <f t="shared" si="96"/>
        <v>0</v>
      </c>
      <c r="AK81">
        <f t="shared" si="97"/>
        <v>0</v>
      </c>
      <c r="AL81">
        <f t="shared" si="98"/>
        <v>1</v>
      </c>
      <c r="AM81">
        <f t="shared" si="99"/>
        <v>0</v>
      </c>
      <c r="AN81">
        <f t="shared" si="100"/>
        <v>0</v>
      </c>
    </row>
    <row r="82" spans="1:40" x14ac:dyDescent="0.55000000000000004">
      <c r="A82" s="3" t="s">
        <v>37</v>
      </c>
      <c r="B82" s="36">
        <f t="shared" si="117"/>
        <v>557.16066424638666</v>
      </c>
      <c r="C82" s="36">
        <f t="shared" si="118"/>
        <v>74379.647667779471</v>
      </c>
      <c r="D82" s="36">
        <f t="shared" si="119"/>
        <v>8490.7494986190995</v>
      </c>
      <c r="E82" s="36">
        <f t="shared" si="120"/>
        <v>1124.167518986083</v>
      </c>
      <c r="F82" s="36">
        <f t="shared" si="101"/>
        <v>293.1570866201136</v>
      </c>
      <c r="G82" s="36">
        <f t="shared" si="102"/>
        <v>0</v>
      </c>
      <c r="H82" s="36">
        <f t="shared" si="103"/>
        <v>0</v>
      </c>
      <c r="I82" s="36">
        <f t="shared" si="104"/>
        <v>0</v>
      </c>
      <c r="J82" s="36">
        <f t="shared" si="105"/>
        <v>264.003577626273</v>
      </c>
      <c r="K82" s="36">
        <f t="shared" si="121"/>
        <v>557.16066424638666</v>
      </c>
      <c r="L82" s="36">
        <f t="shared" si="106"/>
        <v>54539.341709119093</v>
      </c>
      <c r="M82" s="36">
        <f t="shared" si="107"/>
        <v>0</v>
      </c>
      <c r="N82" s="36">
        <f t="shared" si="108"/>
        <v>0</v>
      </c>
      <c r="O82" s="36">
        <f t="shared" si="109"/>
        <v>0</v>
      </c>
      <c r="P82" s="36">
        <f t="shared" si="110"/>
        <v>19840.305958660378</v>
      </c>
      <c r="Q82" s="36">
        <f t="shared" si="122"/>
        <v>74379.647667779471</v>
      </c>
      <c r="R82" s="36">
        <f t="shared" si="111"/>
        <v>6691.9625624112487</v>
      </c>
      <c r="S82" s="36">
        <f t="shared" si="112"/>
        <v>0</v>
      </c>
      <c r="T82" s="36">
        <f t="shared" si="113"/>
        <v>0</v>
      </c>
      <c r="U82" s="36">
        <f t="shared" si="114"/>
        <v>0</v>
      </c>
      <c r="V82" s="36">
        <f t="shared" si="115"/>
        <v>1798.7869362078513</v>
      </c>
      <c r="W82" s="36">
        <f t="shared" si="123"/>
        <v>8490.7494986190995</v>
      </c>
      <c r="X82" s="36">
        <f t="shared" si="124"/>
        <v>1099.9598076829641</v>
      </c>
      <c r="Y82" s="36">
        <f t="shared" si="125"/>
        <v>0</v>
      </c>
      <c r="Z82" s="36">
        <f t="shared" si="126"/>
        <v>0</v>
      </c>
      <c r="AA82" s="36">
        <f t="shared" si="127"/>
        <v>0</v>
      </c>
      <c r="AB82" s="36">
        <f t="shared" si="128"/>
        <v>24.207711303118899</v>
      </c>
      <c r="AC82" s="36">
        <f t="shared" si="129"/>
        <v>1124.167518986083</v>
      </c>
      <c r="AE82">
        <f t="shared" si="91"/>
        <v>34359738368</v>
      </c>
      <c r="AF82">
        <f t="shared" si="92"/>
        <v>0</v>
      </c>
      <c r="AG82">
        <f t="shared" si="93"/>
        <v>0</v>
      </c>
      <c r="AH82">
        <f t="shared" si="94"/>
        <v>0</v>
      </c>
      <c r="AI82">
        <f t="shared" si="95"/>
        <v>872415232</v>
      </c>
      <c r="AJ82">
        <f t="shared" si="96"/>
        <v>60</v>
      </c>
      <c r="AK82">
        <f t="shared" si="97"/>
        <v>0</v>
      </c>
      <c r="AL82">
        <f t="shared" si="98"/>
        <v>0</v>
      </c>
      <c r="AM82">
        <f t="shared" si="99"/>
        <v>0</v>
      </c>
      <c r="AN82">
        <f t="shared" si="100"/>
        <v>40</v>
      </c>
    </row>
    <row r="83" spans="1:40" x14ac:dyDescent="0.55000000000000004">
      <c r="A83" s="3" t="s">
        <v>38</v>
      </c>
      <c r="B83" s="36">
        <f t="shared" si="117"/>
        <v>4130.5711443599012</v>
      </c>
      <c r="C83" s="36">
        <f t="shared" si="118"/>
        <v>1267166.6034784357</v>
      </c>
      <c r="D83" s="36">
        <f t="shared" si="119"/>
        <v>146842.98191036892</v>
      </c>
      <c r="E83" s="36">
        <f t="shared" si="120"/>
        <v>146842.98191036892</v>
      </c>
      <c r="F83" s="36">
        <f t="shared" si="101"/>
        <v>0</v>
      </c>
      <c r="G83" s="36">
        <f t="shared" si="102"/>
        <v>0</v>
      </c>
      <c r="H83" s="36">
        <f t="shared" si="103"/>
        <v>4130.5711443599012</v>
      </c>
      <c r="I83" s="36">
        <f t="shared" si="104"/>
        <v>0</v>
      </c>
      <c r="J83" s="36">
        <f t="shared" si="105"/>
        <v>0</v>
      </c>
      <c r="K83" s="36">
        <f t="shared" si="121"/>
        <v>4130.5711443599012</v>
      </c>
      <c r="L83" s="36">
        <f t="shared" si="106"/>
        <v>0</v>
      </c>
      <c r="M83" s="36">
        <f t="shared" si="107"/>
        <v>0</v>
      </c>
      <c r="N83" s="36">
        <f t="shared" si="108"/>
        <v>1267166.6034784357</v>
      </c>
      <c r="O83" s="36">
        <f t="shared" si="109"/>
        <v>0</v>
      </c>
      <c r="P83" s="36">
        <f t="shared" si="110"/>
        <v>0</v>
      </c>
      <c r="Q83" s="36">
        <f t="shared" si="122"/>
        <v>1267166.6034784357</v>
      </c>
      <c r="R83" s="36">
        <f t="shared" si="111"/>
        <v>0</v>
      </c>
      <c r="S83" s="36">
        <f t="shared" si="112"/>
        <v>0</v>
      </c>
      <c r="T83" s="36">
        <f t="shared" si="113"/>
        <v>146842.98191036892</v>
      </c>
      <c r="U83" s="36">
        <f t="shared" si="114"/>
        <v>0</v>
      </c>
      <c r="V83" s="36">
        <f t="shared" si="115"/>
        <v>0</v>
      </c>
      <c r="W83" s="36">
        <f t="shared" si="123"/>
        <v>146842.98191036892</v>
      </c>
      <c r="X83" s="36">
        <f t="shared" si="124"/>
        <v>0</v>
      </c>
      <c r="Y83" s="36">
        <f t="shared" si="125"/>
        <v>0</v>
      </c>
      <c r="Z83" s="36">
        <f t="shared" si="126"/>
        <v>146842.98191036892</v>
      </c>
      <c r="AA83" s="36">
        <f t="shared" si="127"/>
        <v>0</v>
      </c>
      <c r="AB83" s="36">
        <f t="shared" si="128"/>
        <v>0</v>
      </c>
      <c r="AC83" s="36">
        <f t="shared" si="129"/>
        <v>146842.98191036892</v>
      </c>
      <c r="AE83">
        <f t="shared" si="91"/>
        <v>0</v>
      </c>
      <c r="AF83">
        <f t="shared" si="92"/>
        <v>0</v>
      </c>
      <c r="AG83">
        <f t="shared" si="93"/>
        <v>68952000000000</v>
      </c>
      <c r="AH83">
        <f t="shared" si="94"/>
        <v>0</v>
      </c>
      <c r="AI83">
        <f t="shared" si="95"/>
        <v>0</v>
      </c>
      <c r="AJ83">
        <f t="shared" si="96"/>
        <v>0</v>
      </c>
      <c r="AK83">
        <f t="shared" si="97"/>
        <v>0</v>
      </c>
      <c r="AL83">
        <f t="shared" si="98"/>
        <v>1</v>
      </c>
      <c r="AM83">
        <f t="shared" si="99"/>
        <v>0</v>
      </c>
      <c r="AN83">
        <f t="shared" si="100"/>
        <v>0</v>
      </c>
    </row>
    <row r="84" spans="1:40" x14ac:dyDescent="0.55000000000000004">
      <c r="A84" s="3" t="s">
        <v>39</v>
      </c>
      <c r="B84" s="36">
        <f t="shared" si="117"/>
        <v>31.376278499999671</v>
      </c>
      <c r="C84" s="36">
        <f t="shared" si="118"/>
        <v>2343.9864485809981</v>
      </c>
      <c r="D84" s="36">
        <f t="shared" si="119"/>
        <v>93.85324105801071</v>
      </c>
      <c r="E84" s="36">
        <f t="shared" si="120"/>
        <v>1999.1529412818691</v>
      </c>
      <c r="F84" s="36">
        <f t="shared" si="101"/>
        <v>0</v>
      </c>
      <c r="G84" s="36">
        <f t="shared" si="102"/>
        <v>31.376278499999671</v>
      </c>
      <c r="H84" s="36">
        <f t="shared" si="103"/>
        <v>0</v>
      </c>
      <c r="I84" s="36">
        <f t="shared" si="104"/>
        <v>0</v>
      </c>
      <c r="J84" s="36">
        <f t="shared" si="105"/>
        <v>0</v>
      </c>
      <c r="K84" s="36">
        <f t="shared" si="121"/>
        <v>31.376278499999671</v>
      </c>
      <c r="L84" s="36">
        <f t="shared" si="106"/>
        <v>0</v>
      </c>
      <c r="M84" s="36">
        <f t="shared" si="107"/>
        <v>2343.9864485809981</v>
      </c>
      <c r="N84" s="36">
        <f t="shared" si="108"/>
        <v>0</v>
      </c>
      <c r="O84" s="36">
        <f t="shared" si="109"/>
        <v>0</v>
      </c>
      <c r="P84" s="36">
        <f t="shared" si="110"/>
        <v>0</v>
      </c>
      <c r="Q84" s="36">
        <f t="shared" si="122"/>
        <v>2343.9864485809981</v>
      </c>
      <c r="R84" s="36">
        <f t="shared" si="111"/>
        <v>0</v>
      </c>
      <c r="S84" s="36">
        <f t="shared" si="112"/>
        <v>93.85324105801071</v>
      </c>
      <c r="T84" s="36">
        <f t="shared" si="113"/>
        <v>0</v>
      </c>
      <c r="U84" s="36">
        <f t="shared" si="114"/>
        <v>0</v>
      </c>
      <c r="V84" s="36">
        <f t="shared" si="115"/>
        <v>0</v>
      </c>
      <c r="W84" s="36">
        <f t="shared" si="123"/>
        <v>93.85324105801071</v>
      </c>
      <c r="X84" s="36">
        <f t="shared" si="124"/>
        <v>0</v>
      </c>
      <c r="Y84" s="36">
        <f t="shared" si="125"/>
        <v>1999.1529412818691</v>
      </c>
      <c r="Z84" s="36">
        <f t="shared" si="126"/>
        <v>0</v>
      </c>
      <c r="AA84" s="36">
        <f t="shared" si="127"/>
        <v>0</v>
      </c>
      <c r="AB84" s="36">
        <f t="shared" si="128"/>
        <v>0</v>
      </c>
      <c r="AC84" s="36">
        <f t="shared" si="129"/>
        <v>1999.1529412818691</v>
      </c>
      <c r="AE84">
        <f t="shared" si="91"/>
        <v>0</v>
      </c>
      <c r="AF84">
        <f t="shared" si="92"/>
        <v>53040000000</v>
      </c>
      <c r="AG84">
        <f t="shared" si="93"/>
        <v>0</v>
      </c>
      <c r="AH84">
        <f t="shared" si="94"/>
        <v>0</v>
      </c>
      <c r="AI84">
        <f t="shared" si="95"/>
        <v>0</v>
      </c>
      <c r="AJ84">
        <f t="shared" si="96"/>
        <v>0</v>
      </c>
      <c r="AK84">
        <f t="shared" si="97"/>
        <v>1</v>
      </c>
      <c r="AL84">
        <f t="shared" si="98"/>
        <v>0</v>
      </c>
      <c r="AM84">
        <f t="shared" si="99"/>
        <v>0</v>
      </c>
      <c r="AN84">
        <f t="shared" si="100"/>
        <v>0</v>
      </c>
    </row>
    <row r="85" spans="1:40" x14ac:dyDescent="0.55000000000000004">
      <c r="A85" s="3" t="s">
        <v>40</v>
      </c>
      <c r="B85" s="36">
        <f t="shared" si="117"/>
        <v>0.10651805825133108</v>
      </c>
      <c r="C85" s="36">
        <f t="shared" si="118"/>
        <v>14.487502424889193</v>
      </c>
      <c r="D85" s="36">
        <f t="shared" si="119"/>
        <v>2.2635708144936397</v>
      </c>
      <c r="E85" s="36">
        <f t="shared" si="120"/>
        <v>3.5550651405422726E-2</v>
      </c>
      <c r="F85" s="36">
        <f t="shared" si="101"/>
        <v>0</v>
      </c>
      <c r="G85" s="36">
        <f t="shared" si="102"/>
        <v>0</v>
      </c>
      <c r="H85" s="36">
        <f t="shared" si="103"/>
        <v>0</v>
      </c>
      <c r="I85" s="36">
        <f t="shared" si="104"/>
        <v>0</v>
      </c>
      <c r="J85" s="36">
        <f t="shared" si="105"/>
        <v>0.10651805825133108</v>
      </c>
      <c r="K85" s="36">
        <f t="shared" si="121"/>
        <v>0.10651805825133108</v>
      </c>
      <c r="L85" s="36">
        <f t="shared" si="106"/>
        <v>0</v>
      </c>
      <c r="M85" s="36">
        <f t="shared" si="107"/>
        <v>0</v>
      </c>
      <c r="N85" s="36">
        <f t="shared" si="108"/>
        <v>0</v>
      </c>
      <c r="O85" s="36">
        <f t="shared" si="109"/>
        <v>0</v>
      </c>
      <c r="P85" s="36">
        <f t="shared" si="110"/>
        <v>14.487502424889193</v>
      </c>
      <c r="Q85" s="36">
        <f t="shared" si="122"/>
        <v>14.487502424889193</v>
      </c>
      <c r="R85" s="36">
        <f t="shared" si="111"/>
        <v>0</v>
      </c>
      <c r="S85" s="36">
        <f t="shared" si="112"/>
        <v>0</v>
      </c>
      <c r="T85" s="36">
        <f t="shared" si="113"/>
        <v>0</v>
      </c>
      <c r="U85" s="36">
        <f t="shared" si="114"/>
        <v>0</v>
      </c>
      <c r="V85" s="36">
        <f t="shared" si="115"/>
        <v>2.2635708144936397</v>
      </c>
      <c r="W85" s="36">
        <f t="shared" si="123"/>
        <v>2.2635708144936397</v>
      </c>
      <c r="X85" s="36">
        <f t="shared" si="124"/>
        <v>0</v>
      </c>
      <c r="Y85" s="36">
        <f t="shared" si="125"/>
        <v>0</v>
      </c>
      <c r="Z85" s="36">
        <f t="shared" si="126"/>
        <v>0</v>
      </c>
      <c r="AA85" s="36">
        <f t="shared" si="127"/>
        <v>0</v>
      </c>
      <c r="AB85" s="36">
        <f t="shared" si="128"/>
        <v>3.5550651405422726E-2</v>
      </c>
      <c r="AC85" s="36">
        <f t="shared" si="129"/>
        <v>3.5550651405422726E-2</v>
      </c>
      <c r="AE85">
        <f t="shared" si="91"/>
        <v>0</v>
      </c>
      <c r="AF85">
        <f t="shared" si="92"/>
        <v>0</v>
      </c>
      <c r="AG85">
        <f t="shared" si="93"/>
        <v>0</v>
      </c>
      <c r="AH85">
        <f t="shared" si="94"/>
        <v>0</v>
      </c>
      <c r="AI85">
        <f t="shared" si="95"/>
        <v>797548.69095831283</v>
      </c>
      <c r="AJ85">
        <f t="shared" si="96"/>
        <v>0</v>
      </c>
      <c r="AK85">
        <f t="shared" si="97"/>
        <v>0</v>
      </c>
      <c r="AL85">
        <f t="shared" si="98"/>
        <v>0</v>
      </c>
      <c r="AM85">
        <f t="shared" si="99"/>
        <v>0</v>
      </c>
      <c r="AN85">
        <f t="shared" si="100"/>
        <v>60</v>
      </c>
    </row>
    <row r="86" spans="1:40" x14ac:dyDescent="0.55000000000000004">
      <c r="A86" t="s">
        <v>41</v>
      </c>
      <c r="B86" s="36">
        <f t="shared" si="117"/>
        <v>2241914.3872724748</v>
      </c>
      <c r="C86" s="36">
        <f t="shared" si="118"/>
        <v>13346688.301993709</v>
      </c>
      <c r="D86" s="36">
        <f t="shared" si="119"/>
        <v>75839492.319061115</v>
      </c>
      <c r="E86" s="36">
        <f t="shared" si="120"/>
        <v>17672023.174638212</v>
      </c>
      <c r="F86" s="36">
        <f t="shared" si="101"/>
        <v>2241914.3872724748</v>
      </c>
      <c r="G86" s="36">
        <f t="shared" si="102"/>
        <v>0</v>
      </c>
      <c r="H86" s="36">
        <f t="shared" si="103"/>
        <v>0</v>
      </c>
      <c r="I86" s="36">
        <f t="shared" si="104"/>
        <v>0</v>
      </c>
      <c r="J86" s="36">
        <f t="shared" si="105"/>
        <v>0</v>
      </c>
      <c r="K86" s="36">
        <f t="shared" si="121"/>
        <v>2241914.3872724748</v>
      </c>
      <c r="L86" s="36">
        <f t="shared" si="106"/>
        <v>13346688.301993709</v>
      </c>
      <c r="M86" s="36">
        <f t="shared" si="107"/>
        <v>0</v>
      </c>
      <c r="N86" s="36">
        <f t="shared" si="108"/>
        <v>0</v>
      </c>
      <c r="O86" s="36">
        <f t="shared" si="109"/>
        <v>0</v>
      </c>
      <c r="P86" s="36">
        <f t="shared" si="110"/>
        <v>0</v>
      </c>
      <c r="Q86" s="36">
        <f t="shared" si="122"/>
        <v>13346688.301993709</v>
      </c>
      <c r="R86" s="36">
        <f t="shared" si="111"/>
        <v>75839492.319061115</v>
      </c>
      <c r="S86" s="36">
        <f t="shared" si="112"/>
        <v>0</v>
      </c>
      <c r="T86" s="36">
        <f t="shared" si="113"/>
        <v>0</v>
      </c>
      <c r="U86" s="36">
        <f t="shared" si="114"/>
        <v>0</v>
      </c>
      <c r="V86" s="36">
        <f t="shared" si="115"/>
        <v>0</v>
      </c>
      <c r="W86" s="36">
        <f t="shared" si="123"/>
        <v>75839492.319061115</v>
      </c>
      <c r="X86" s="36">
        <f t="shared" si="124"/>
        <v>17672023.174638212</v>
      </c>
      <c r="Y86" s="36">
        <f t="shared" si="125"/>
        <v>0</v>
      </c>
      <c r="Z86" s="36">
        <f t="shared" si="126"/>
        <v>0</v>
      </c>
      <c r="AA86" s="36">
        <f t="shared" si="127"/>
        <v>0</v>
      </c>
      <c r="AB86" s="36">
        <f t="shared" si="128"/>
        <v>0</v>
      </c>
      <c r="AC86" s="36">
        <f t="shared" si="129"/>
        <v>17672023.174638212</v>
      </c>
      <c r="AE86">
        <f t="shared" si="91"/>
        <v>156000</v>
      </c>
      <c r="AF86">
        <f t="shared" si="92"/>
        <v>0</v>
      </c>
      <c r="AG86">
        <f t="shared" si="93"/>
        <v>0</v>
      </c>
      <c r="AH86">
        <f t="shared" si="94"/>
        <v>0</v>
      </c>
      <c r="AI86">
        <f t="shared" si="95"/>
        <v>0</v>
      </c>
      <c r="AJ86">
        <f t="shared" si="96"/>
        <v>212160000000</v>
      </c>
      <c r="AK86">
        <f t="shared" si="97"/>
        <v>0</v>
      </c>
      <c r="AL86">
        <f t="shared" si="98"/>
        <v>0</v>
      </c>
      <c r="AM86">
        <f t="shared" si="99"/>
        <v>0</v>
      </c>
      <c r="AN86">
        <f t="shared" si="100"/>
        <v>0</v>
      </c>
    </row>
    <row r="88" spans="1:40" x14ac:dyDescent="0.55000000000000004">
      <c r="A88" s="17" t="s">
        <v>172</v>
      </c>
    </row>
    <row r="89" spans="1:40" x14ac:dyDescent="0.55000000000000004">
      <c r="A89" t="s">
        <v>144</v>
      </c>
    </row>
    <row r="90" spans="1:40" x14ac:dyDescent="0.55000000000000004">
      <c r="A90" t="s">
        <v>143</v>
      </c>
    </row>
    <row r="91" spans="1:40" x14ac:dyDescent="0.55000000000000004">
      <c r="A91" t="s">
        <v>173</v>
      </c>
    </row>
    <row r="92" spans="1:40" x14ac:dyDescent="0.55000000000000004">
      <c r="A92" t="s">
        <v>174</v>
      </c>
    </row>
    <row r="93" spans="1:40" x14ac:dyDescent="0.55000000000000004">
      <c r="A93" t="s">
        <v>145</v>
      </c>
    </row>
    <row r="94" spans="1:40" x14ac:dyDescent="0.55000000000000004">
      <c r="A94" t="s">
        <v>146</v>
      </c>
    </row>
    <row r="95" spans="1:40" x14ac:dyDescent="0.55000000000000004">
      <c r="A95" t="s">
        <v>147</v>
      </c>
    </row>
    <row r="96" spans="1:40" x14ac:dyDescent="0.55000000000000004">
      <c r="A96" t="s">
        <v>148</v>
      </c>
    </row>
    <row r="97" spans="1:15" x14ac:dyDescent="0.55000000000000004">
      <c r="A97" t="s">
        <v>149</v>
      </c>
    </row>
    <row r="98" spans="1:15" x14ac:dyDescent="0.55000000000000004">
      <c r="A98" t="s">
        <v>150</v>
      </c>
    </row>
    <row r="99" spans="1:15" x14ac:dyDescent="0.55000000000000004">
      <c r="A99" t="s">
        <v>151</v>
      </c>
    </row>
    <row r="101" spans="1:15" x14ac:dyDescent="0.55000000000000004">
      <c r="K101" s="149" t="s">
        <v>185</v>
      </c>
      <c r="L101" s="149"/>
      <c r="M101" s="149"/>
      <c r="N101" s="149"/>
    </row>
    <row r="102" spans="1:15" x14ac:dyDescent="0.55000000000000004">
      <c r="A102" s="148" t="s">
        <v>175</v>
      </c>
      <c r="B102" s="148"/>
      <c r="C102" s="148"/>
      <c r="D102" s="148"/>
      <c r="E102" s="148"/>
      <c r="F102" s="148"/>
      <c r="G102" s="148"/>
      <c r="K102" t="s">
        <v>106</v>
      </c>
      <c r="L102" t="s">
        <v>26</v>
      </c>
      <c r="M102" t="s">
        <v>141</v>
      </c>
      <c r="N102" t="s">
        <v>139</v>
      </c>
      <c r="O102" t="s">
        <v>186</v>
      </c>
    </row>
    <row r="103" spans="1:15" x14ac:dyDescent="0.55000000000000004">
      <c r="A103" s="137" t="s">
        <v>26</v>
      </c>
      <c r="B103" s="137"/>
      <c r="C103" s="137"/>
      <c r="D103" s="137"/>
      <c r="E103" s="111"/>
      <c r="K103" t="s">
        <v>144</v>
      </c>
      <c r="L103" s="36">
        <f>GEOMEAN(B46:D46)</f>
        <v>417955.63365066645</v>
      </c>
      <c r="M103" s="36">
        <f>GEOMEAN(B61:D61)</f>
        <v>12437033.462787764</v>
      </c>
      <c r="N103" s="36">
        <f>GEOMEAN(B76:D76)</f>
        <v>367110557.6335116</v>
      </c>
      <c r="O103" s="36">
        <f>GEOMEAN(L103:N103)</f>
        <v>12403605.747198204</v>
      </c>
    </row>
    <row r="104" spans="1:15" x14ac:dyDescent="0.55000000000000004">
      <c r="A104" s="75"/>
      <c r="B104" s="147" t="s">
        <v>171</v>
      </c>
      <c r="C104" s="147"/>
      <c r="D104" s="147"/>
      <c r="E104" s="114"/>
      <c r="G104" t="s">
        <v>176</v>
      </c>
      <c r="K104" t="s">
        <v>143</v>
      </c>
      <c r="L104" s="36">
        <f t="shared" ref="L104:L113" si="130">GEOMEAN(B47:D47)</f>
        <v>6221.4081167023114</v>
      </c>
      <c r="M104" s="36">
        <f t="shared" ref="M104:M113" si="131">GEOMEAN(B62:D62)</f>
        <v>138076.81685962123</v>
      </c>
      <c r="N104" s="36">
        <f t="shared" ref="N104:N113" si="132">GEOMEAN(B77:D77)</f>
        <v>2128929.6353936535</v>
      </c>
      <c r="O104" s="36">
        <f t="shared" ref="O104:O113" si="133">GEOMEAN(L104:N104)</f>
        <v>122289.80575678845</v>
      </c>
    </row>
    <row r="105" spans="1:15" x14ac:dyDescent="0.55000000000000004">
      <c r="A105" s="17" t="s">
        <v>134</v>
      </c>
      <c r="B105" t="s">
        <v>165</v>
      </c>
      <c r="C105" t="s">
        <v>84</v>
      </c>
      <c r="D105" t="s">
        <v>90</v>
      </c>
      <c r="E105" t="s">
        <v>217</v>
      </c>
      <c r="G105" t="str">
        <f>'Top Level Case Parameters'!G17</f>
        <v>HabEx</v>
      </c>
      <c r="K105" t="s">
        <v>173</v>
      </c>
      <c r="L105" s="36">
        <f t="shared" si="130"/>
        <v>25340.227429943418</v>
      </c>
      <c r="M105" s="36">
        <f t="shared" si="131"/>
        <v>407736.05011047056</v>
      </c>
      <c r="N105" s="36">
        <f t="shared" si="132"/>
        <v>3669311.8157886425</v>
      </c>
      <c r="O105" s="36">
        <f t="shared" si="133"/>
        <v>335937.1857976644</v>
      </c>
    </row>
    <row r="106" spans="1:15" x14ac:dyDescent="0.55000000000000004">
      <c r="A106" s="5" t="s">
        <v>31</v>
      </c>
      <c r="B106" s="36">
        <f>B46/$G106</f>
        <v>31.775497137408991</v>
      </c>
      <c r="C106" s="36">
        <f t="shared" ref="C106" si="134">C46/$G106</f>
        <v>2699.6457698568634</v>
      </c>
      <c r="D106" s="36">
        <f>D46/$G106</f>
        <v>492.54699726423434</v>
      </c>
      <c r="E106" s="36">
        <f>E46/$G106</f>
        <v>49.356806313980336</v>
      </c>
      <c r="G106">
        <f>'Top Level Case Parameters'!G18</f>
        <v>1200</v>
      </c>
      <c r="K106" t="s">
        <v>174</v>
      </c>
      <c r="L106" s="36">
        <f t="shared" si="130"/>
        <v>2.976220644118508</v>
      </c>
      <c r="M106" s="36">
        <f t="shared" si="131"/>
        <v>26.089658363645693</v>
      </c>
      <c r="N106" s="36">
        <f t="shared" si="132"/>
        <v>190.40072636449668</v>
      </c>
      <c r="O106" s="36">
        <f t="shared" si="133"/>
        <v>24.543361223360332</v>
      </c>
    </row>
    <row r="107" spans="1:15" x14ac:dyDescent="0.55000000000000004">
      <c r="A107" s="3" t="s">
        <v>32</v>
      </c>
      <c r="B107" s="36">
        <f t="shared" ref="B107:E107" si="135">B47/$G107</f>
        <v>0.28805004674918855</v>
      </c>
      <c r="C107" s="36">
        <f t="shared" si="135"/>
        <v>61.557381601386972</v>
      </c>
      <c r="D107" s="36">
        <f t="shared" si="135"/>
        <v>7.8591259306546331</v>
      </c>
      <c r="E107" s="36">
        <f t="shared" si="135"/>
        <v>7.8591259306546331</v>
      </c>
      <c r="G107">
        <f>'Top Level Case Parameters'!G19</f>
        <v>1200</v>
      </c>
      <c r="K107" t="s">
        <v>145</v>
      </c>
      <c r="L107" s="36">
        <f t="shared" si="130"/>
        <v>2.3752278674983021E-4</v>
      </c>
      <c r="M107" s="36">
        <f t="shared" si="131"/>
        <v>9.5009114699932083E-4</v>
      </c>
      <c r="N107" s="36">
        <f t="shared" si="132"/>
        <v>3.7272806536127203E-3</v>
      </c>
      <c r="O107" s="36">
        <f t="shared" si="133"/>
        <v>9.4396135604667164E-4</v>
      </c>
    </row>
    <row r="108" spans="1:15" x14ac:dyDescent="0.55000000000000004">
      <c r="A108" s="3" t="s">
        <v>33</v>
      </c>
      <c r="B108" s="36">
        <f t="shared" ref="B108:E108" si="136">B48/$G108</f>
        <v>3.8188201364837044</v>
      </c>
      <c r="C108" s="36">
        <f t="shared" si="136"/>
        <v>412.30881046239983</v>
      </c>
      <c r="D108" s="36">
        <f t="shared" si="136"/>
        <v>47.84383180086035</v>
      </c>
      <c r="E108" s="36">
        <f t="shared" si="136"/>
        <v>3.3703234032311848</v>
      </c>
      <c r="G108">
        <f>'Top Level Case Parameters'!G20</f>
        <v>600</v>
      </c>
      <c r="K108" t="s">
        <v>146</v>
      </c>
      <c r="L108" s="36">
        <f t="shared" si="130"/>
        <v>3004.4526337604298</v>
      </c>
      <c r="M108" s="36">
        <f t="shared" si="131"/>
        <v>66680.283352803963</v>
      </c>
      <c r="N108" s="36">
        <f t="shared" si="132"/>
        <v>1028106.1988165269</v>
      </c>
      <c r="O108" s="36">
        <f t="shared" si="133"/>
        <v>59056.394002132089</v>
      </c>
    </row>
    <row r="109" spans="1:15" x14ac:dyDescent="0.55000000000000004">
      <c r="A109" s="3" t="s">
        <v>34</v>
      </c>
      <c r="B109" s="36">
        <f t="shared" ref="B109:E109" si="137">B49/$G109</f>
        <v>4.8528687490884421E-3</v>
      </c>
      <c r="C109" s="36">
        <f t="shared" si="137"/>
        <v>0.37031702905294617</v>
      </c>
      <c r="D109" s="36">
        <f t="shared" si="137"/>
        <v>1.4669764610235548E-2</v>
      </c>
      <c r="E109" s="36">
        <f t="shared" si="137"/>
        <v>0.1421319647321915</v>
      </c>
      <c r="G109">
        <f>'Top Level Case Parameters'!G21</f>
        <v>100</v>
      </c>
      <c r="K109" t="s">
        <v>147</v>
      </c>
      <c r="L109" s="36">
        <f t="shared" si="130"/>
        <v>130.61113551583327</v>
      </c>
      <c r="M109" s="36">
        <f t="shared" si="131"/>
        <v>888.35953305626879</v>
      </c>
      <c r="N109" s="36">
        <f t="shared" si="132"/>
        <v>7059.8184160290693</v>
      </c>
      <c r="O109" s="36">
        <f t="shared" si="133"/>
        <v>935.66596961977189</v>
      </c>
    </row>
    <row r="110" spans="1:15" x14ac:dyDescent="0.55000000000000004">
      <c r="A110" s="3" t="s">
        <v>35</v>
      </c>
      <c r="B110" s="36">
        <f t="shared" ref="B110:E110" si="138">B50/$G110</f>
        <v>1.1741470835356902E-6</v>
      </c>
      <c r="C110" s="36">
        <f t="shared" si="138"/>
        <v>5.6931466470580591E-6</v>
      </c>
      <c r="D110" s="36">
        <f t="shared" si="138"/>
        <v>2.0046611115389346E-6</v>
      </c>
      <c r="E110" s="36">
        <f t="shared" si="138"/>
        <v>2.0046611115389346E-6</v>
      </c>
      <c r="G110">
        <f>'Top Level Case Parameters'!G22</f>
        <v>100</v>
      </c>
      <c r="K110" t="s">
        <v>148</v>
      </c>
      <c r="L110" s="36">
        <f t="shared" si="130"/>
        <v>1147.8180511920204</v>
      </c>
      <c r="M110" s="36">
        <f t="shared" si="131"/>
        <v>12302.172025248228</v>
      </c>
      <c r="N110" s="36">
        <f t="shared" si="132"/>
        <v>91600.745191886832</v>
      </c>
      <c r="O110" s="36">
        <f t="shared" si="133"/>
        <v>10895.60334291103</v>
      </c>
    </row>
    <row r="111" spans="1:15" x14ac:dyDescent="0.55000000000000004">
      <c r="A111" s="3" t="s">
        <v>36</v>
      </c>
      <c r="B111" s="36">
        <f t="shared" ref="B111:E111" si="139">B51/$G111</f>
        <v>1.7662827659346283</v>
      </c>
      <c r="C111" s="36">
        <f t="shared" si="139"/>
        <v>342.27651250576525</v>
      </c>
      <c r="D111" s="36">
        <f t="shared" si="139"/>
        <v>44.859946891742865</v>
      </c>
      <c r="E111" s="36">
        <f t="shared" si="139"/>
        <v>44.859946891742865</v>
      </c>
      <c r="G111">
        <f>'Top Level Case Parameters'!G23</f>
        <v>100</v>
      </c>
      <c r="K111" t="s">
        <v>149</v>
      </c>
      <c r="L111" s="36">
        <f t="shared" si="130"/>
        <v>2.976220644118508</v>
      </c>
      <c r="M111" s="36">
        <f t="shared" si="131"/>
        <v>26.089658363645693</v>
      </c>
      <c r="N111" s="36">
        <f t="shared" si="132"/>
        <v>190.40072636449668</v>
      </c>
      <c r="O111" s="36">
        <f t="shared" si="133"/>
        <v>24.543361223360332</v>
      </c>
    </row>
    <row r="112" spans="1:15" x14ac:dyDescent="0.55000000000000004">
      <c r="A112" s="3" t="s">
        <v>37</v>
      </c>
      <c r="B112" s="36">
        <f t="shared" ref="B112:E112" si="140">B52/$G112</f>
        <v>0.11915811426528372</v>
      </c>
      <c r="C112" s="36">
        <f t="shared" si="140"/>
        <v>10.123671636963238</v>
      </c>
      <c r="D112" s="36">
        <f t="shared" si="140"/>
        <v>1.8470512397408789</v>
      </c>
      <c r="E112" s="36">
        <f t="shared" si="140"/>
        <v>0.18508802367742624</v>
      </c>
      <c r="G112">
        <f>'Top Level Case Parameters'!G24</f>
        <v>100</v>
      </c>
      <c r="K112" t="s">
        <v>150</v>
      </c>
      <c r="L112" s="36">
        <f t="shared" si="130"/>
        <v>7.3551571049934719E-2</v>
      </c>
      <c r="M112" s="36">
        <f t="shared" si="131"/>
        <v>0.33881856109814168</v>
      </c>
      <c r="N112" s="36">
        <f t="shared" si="132"/>
        <v>1.5172958947157142</v>
      </c>
      <c r="O112" s="36">
        <f t="shared" si="133"/>
        <v>0.33564213636536183</v>
      </c>
    </row>
    <row r="113" spans="1:15" x14ac:dyDescent="0.55000000000000004">
      <c r="A113" s="3" t="s">
        <v>38</v>
      </c>
      <c r="B113" s="36">
        <f t="shared" ref="B113:E113" si="141">B53/$G113</f>
        <v>0.72711078575766797</v>
      </c>
      <c r="C113" s="36">
        <f t="shared" si="141"/>
        <v>123.80600053170603</v>
      </c>
      <c r="D113" s="36">
        <f t="shared" si="141"/>
        <v>16.798746253736468</v>
      </c>
      <c r="E113" s="36">
        <f t="shared" si="141"/>
        <v>16.798746253736468</v>
      </c>
      <c r="G113">
        <f>'Top Level Case Parameters'!G25</f>
        <v>100</v>
      </c>
      <c r="K113" t="s">
        <v>151</v>
      </c>
      <c r="L113" s="36">
        <f t="shared" si="130"/>
        <v>41530.736803860993</v>
      </c>
      <c r="M113" s="36">
        <f t="shared" si="131"/>
        <v>888993.30871240876</v>
      </c>
      <c r="N113" s="36">
        <f t="shared" si="132"/>
        <v>13141027.366986692</v>
      </c>
      <c r="O113" s="36">
        <f t="shared" si="133"/>
        <v>785776.70439574448</v>
      </c>
    </row>
    <row r="114" spans="1:15" x14ac:dyDescent="0.55000000000000004">
      <c r="A114" s="3" t="s">
        <v>39</v>
      </c>
      <c r="B114" s="36">
        <f t="shared" ref="B114:E114" si="142">B54/$G114</f>
        <v>4.8528687490884421E-3</v>
      </c>
      <c r="C114" s="36">
        <f t="shared" si="142"/>
        <v>0.37031702905294617</v>
      </c>
      <c r="D114" s="36">
        <f t="shared" si="142"/>
        <v>1.4669764610235548E-2</v>
      </c>
      <c r="E114" s="36">
        <f t="shared" si="142"/>
        <v>0.1421319647321915</v>
      </c>
      <c r="G114">
        <f>'Top Level Case Parameters'!G26</f>
        <v>100</v>
      </c>
    </row>
    <row r="115" spans="1:15" x14ac:dyDescent="0.55000000000000004">
      <c r="A115" s="3" t="s">
        <v>40</v>
      </c>
      <c r="B115" s="36">
        <f t="shared" ref="B115:E115" si="143">B55/$G115</f>
        <v>4.5622371610704297E-5</v>
      </c>
      <c r="C115" s="36">
        <f t="shared" si="143"/>
        <v>7.0475177630847227E-3</v>
      </c>
      <c r="D115" s="36">
        <f t="shared" si="143"/>
        <v>1.2375473485416622E-3</v>
      </c>
      <c r="E115" s="36">
        <f t="shared" si="143"/>
        <v>2.009141972027749E-5</v>
      </c>
      <c r="G115">
        <f>'Top Level Case Parameters'!G27</f>
        <v>100</v>
      </c>
    </row>
    <row r="116" spans="1:15" x14ac:dyDescent="0.55000000000000004">
      <c r="A116" t="s">
        <v>41</v>
      </c>
      <c r="B116" s="36">
        <f t="shared" ref="B116:E116" si="144">B56/$G116</f>
        <v>6.6292822455237097</v>
      </c>
      <c r="C116" s="36">
        <f t="shared" si="144"/>
        <v>26.661924705507026</v>
      </c>
      <c r="D116" s="36">
        <f t="shared" si="144"/>
        <v>234.53473020381696</v>
      </c>
      <c r="E116" s="36">
        <f t="shared" si="144"/>
        <v>56.868032687718163</v>
      </c>
      <c r="G116">
        <f>'Top Level Case Parameters'!G28</f>
        <v>1200</v>
      </c>
    </row>
    <row r="118" spans="1:15" x14ac:dyDescent="0.55000000000000004">
      <c r="A118" s="137" t="s">
        <v>141</v>
      </c>
      <c r="B118" s="137"/>
      <c r="C118" s="137"/>
      <c r="D118" s="137"/>
      <c r="E118" s="111"/>
    </row>
    <row r="119" spans="1:15" x14ac:dyDescent="0.55000000000000004">
      <c r="A119" s="75"/>
      <c r="B119" s="147" t="s">
        <v>171</v>
      </c>
      <c r="C119" s="147"/>
      <c r="D119" s="147"/>
      <c r="E119" s="114"/>
      <c r="G119" s="3" t="s">
        <v>176</v>
      </c>
    </row>
    <row r="120" spans="1:15" x14ac:dyDescent="0.55000000000000004">
      <c r="A120" s="17" t="s">
        <v>134</v>
      </c>
      <c r="B120" t="s">
        <v>165</v>
      </c>
      <c r="C120" t="s">
        <v>84</v>
      </c>
      <c r="D120" t="s">
        <v>90</v>
      </c>
      <c r="E120" t="s">
        <v>217</v>
      </c>
      <c r="G120" s="5" t="str">
        <f>'Top Level Case Parameters'!D17</f>
        <v>Mid</v>
      </c>
    </row>
    <row r="121" spans="1:15" x14ac:dyDescent="0.55000000000000004">
      <c r="A121" s="5" t="s">
        <v>31</v>
      </c>
      <c r="B121" s="36">
        <f>B61/$G121</f>
        <v>927.19802177118288</v>
      </c>
      <c r="C121" s="36">
        <f t="shared" ref="C121:E121" si="145">C61/$G121</f>
        <v>86024.041350721047</v>
      </c>
      <c r="D121" s="36">
        <f t="shared" si="145"/>
        <v>13957.715197058522</v>
      </c>
      <c r="E121" s="36">
        <f t="shared" si="145"/>
        <v>1670.4268861339317</v>
      </c>
      <c r="G121" s="3">
        <f>'Top Level Case Parameters'!D18</f>
        <v>1200</v>
      </c>
    </row>
    <row r="122" spans="1:15" x14ac:dyDescent="0.55000000000000004">
      <c r="A122" s="3" t="s">
        <v>32</v>
      </c>
      <c r="B122" s="36">
        <f t="shared" ref="B122:E122" si="146">B62/$G122</f>
        <v>5.0259574880130682</v>
      </c>
      <c r="C122" s="36">
        <f t="shared" si="146"/>
        <v>1629.2965287447737</v>
      </c>
      <c r="D122" s="36">
        <f t="shared" si="146"/>
        <v>186.03712458783983</v>
      </c>
      <c r="E122" s="36">
        <f t="shared" si="146"/>
        <v>186.03712458783983</v>
      </c>
      <c r="G122" s="3">
        <f>'Top Level Case Parameters'!D19</f>
        <v>1200</v>
      </c>
    </row>
    <row r="123" spans="1:15" x14ac:dyDescent="0.55000000000000004">
      <c r="A123" s="3" t="s">
        <v>33</v>
      </c>
      <c r="B123" s="36">
        <f t="shared" ref="B123:E123" si="147">B63/$G123</f>
        <v>68.076710244627492</v>
      </c>
      <c r="C123" s="36">
        <f t="shared" si="147"/>
        <v>5295.3958481183054</v>
      </c>
      <c r="D123" s="36">
        <f t="shared" si="147"/>
        <v>870.53571207817117</v>
      </c>
      <c r="E123" s="36">
        <f t="shared" si="147"/>
        <v>35.560858237165519</v>
      </c>
      <c r="G123" s="3">
        <f>'Top Level Case Parameters'!D20</f>
        <v>600</v>
      </c>
    </row>
    <row r="124" spans="1:15" x14ac:dyDescent="0.55000000000000004">
      <c r="A124" s="3" t="s">
        <v>34</v>
      </c>
      <c r="B124" s="36">
        <f t="shared" ref="B124:E124" si="148">B64/$G124</f>
        <v>0.42776266974613747</v>
      </c>
      <c r="C124" s="36">
        <f t="shared" si="148"/>
        <v>32.282269313919947</v>
      </c>
      <c r="D124" s="36">
        <f t="shared" si="148"/>
        <v>1.2859919163227811</v>
      </c>
      <c r="E124" s="36">
        <f t="shared" si="148"/>
        <v>18.797967502048849</v>
      </c>
      <c r="G124" s="3">
        <f>'Top Level Case Parameters'!D21</f>
        <v>10</v>
      </c>
    </row>
    <row r="125" spans="1:15" x14ac:dyDescent="0.55000000000000004">
      <c r="A125" s="3" t="s">
        <v>35</v>
      </c>
      <c r="B125" s="36">
        <f t="shared" ref="B125:E125" si="149">B65/$G125</f>
        <v>4.6965883341427608E-5</v>
      </c>
      <c r="C125" s="36">
        <f t="shared" si="149"/>
        <v>2.2772586588232238E-4</v>
      </c>
      <c r="D125" s="36">
        <f t="shared" si="149"/>
        <v>8.0186444461557369E-5</v>
      </c>
      <c r="E125" s="36">
        <f t="shared" si="149"/>
        <v>8.0186444461557369E-5</v>
      </c>
      <c r="G125" s="3">
        <f>'Top Level Case Parameters'!D22</f>
        <v>10</v>
      </c>
    </row>
    <row r="126" spans="1:15" x14ac:dyDescent="0.55000000000000004">
      <c r="A126" s="3" t="s">
        <v>36</v>
      </c>
      <c r="B126" s="36">
        <f t="shared" ref="B126:E126" si="150">B66/$G126</f>
        <v>308.18471281579673</v>
      </c>
      <c r="C126" s="36">
        <f t="shared" si="150"/>
        <v>90593.511158041743</v>
      </c>
      <c r="D126" s="36">
        <f t="shared" si="150"/>
        <v>10619.012346335936</v>
      </c>
      <c r="E126" s="36">
        <f t="shared" si="150"/>
        <v>10619.012346335936</v>
      </c>
      <c r="G126" s="3">
        <f>'Top Level Case Parameters'!D23</f>
        <v>10</v>
      </c>
    </row>
    <row r="127" spans="1:15" x14ac:dyDescent="0.55000000000000004">
      <c r="A127" s="3" t="s">
        <v>37</v>
      </c>
      <c r="B127" s="36">
        <f t="shared" ref="B127:E127" si="151">B67/$G127</f>
        <v>7.9474116151815677</v>
      </c>
      <c r="C127" s="36">
        <f t="shared" si="151"/>
        <v>737.34892586332319</v>
      </c>
      <c r="D127" s="36">
        <f t="shared" si="151"/>
        <v>119.63755883193019</v>
      </c>
      <c r="E127" s="36">
        <f t="shared" si="151"/>
        <v>14.317944738290842</v>
      </c>
      <c r="G127" s="3">
        <f>'Top Level Case Parameters'!D24</f>
        <v>10</v>
      </c>
    </row>
    <row r="128" spans="1:15" x14ac:dyDescent="0.55000000000000004">
      <c r="A128" s="3" t="s">
        <v>38</v>
      </c>
      <c r="B128" s="36">
        <f t="shared" ref="B128:E128" si="152">B68/$G128</f>
        <v>64.827979033191639</v>
      </c>
      <c r="C128" s="36">
        <f t="shared" si="152"/>
        <v>15183.692568383762</v>
      </c>
      <c r="D128" s="36">
        <f t="shared" si="152"/>
        <v>1891.4963258996697</v>
      </c>
      <c r="E128" s="36">
        <f t="shared" si="152"/>
        <v>1891.4963258996697</v>
      </c>
      <c r="G128" s="3">
        <f>'Top Level Case Parameters'!D25</f>
        <v>10</v>
      </c>
    </row>
    <row r="129" spans="1:7" x14ac:dyDescent="0.55000000000000004">
      <c r="A129" s="3" t="s">
        <v>39</v>
      </c>
      <c r="B129" s="36">
        <f t="shared" ref="B129:E129" si="153">B69/$G129</f>
        <v>0.42776266974613747</v>
      </c>
      <c r="C129" s="36">
        <f t="shared" si="153"/>
        <v>32.282269313919947</v>
      </c>
      <c r="D129" s="36">
        <f t="shared" si="153"/>
        <v>1.2859919163227811</v>
      </c>
      <c r="E129" s="36">
        <f t="shared" si="153"/>
        <v>18.797967502048849</v>
      </c>
      <c r="G129" s="3">
        <f>'Top Level Case Parameters'!D26</f>
        <v>10</v>
      </c>
    </row>
    <row r="130" spans="1:7" x14ac:dyDescent="0.55000000000000004">
      <c r="A130" s="3" t="s">
        <v>40</v>
      </c>
      <c r="B130" s="36">
        <f t="shared" ref="B130:E130" si="154">B70/$G130</f>
        <v>2.2382042793072502E-3</v>
      </c>
      <c r="C130" s="36">
        <f t="shared" si="154"/>
        <v>0.32406925123025621</v>
      </c>
      <c r="D130" s="36">
        <f t="shared" si="154"/>
        <v>5.3624596066465878E-2</v>
      </c>
      <c r="E130" s="36">
        <f t="shared" si="154"/>
        <v>8.5603433897907223E-4</v>
      </c>
      <c r="G130" s="3">
        <f>'Top Level Case Parameters'!D27</f>
        <v>10</v>
      </c>
    </row>
    <row r="131" spans="1:7" x14ac:dyDescent="0.55000000000000004">
      <c r="A131" t="s">
        <v>41</v>
      </c>
      <c r="B131" s="36">
        <f t="shared" ref="B131:E131" si="155">B71/$G131</f>
        <v>133.01924941242541</v>
      </c>
      <c r="C131" s="36">
        <f t="shared" si="155"/>
        <v>665.96418403910729</v>
      </c>
      <c r="D131" s="36">
        <f t="shared" si="155"/>
        <v>4589.7219058266228</v>
      </c>
      <c r="E131" s="36">
        <f t="shared" si="155"/>
        <v>1088.4382690063017</v>
      </c>
      <c r="G131">
        <f>'Top Level Case Parameters'!D28</f>
        <v>1200</v>
      </c>
    </row>
    <row r="133" spans="1:7" x14ac:dyDescent="0.55000000000000004">
      <c r="A133" s="137" t="s">
        <v>139</v>
      </c>
      <c r="B133" s="137"/>
      <c r="C133" s="137"/>
      <c r="D133" s="137"/>
      <c r="E133" s="111"/>
    </row>
    <row r="134" spans="1:7" x14ac:dyDescent="0.55000000000000004">
      <c r="A134" s="75"/>
      <c r="B134" s="147" t="s">
        <v>171</v>
      </c>
      <c r="C134" s="147"/>
      <c r="D134" s="147"/>
      <c r="E134" s="114"/>
      <c r="G134" s="3" t="s">
        <v>176</v>
      </c>
    </row>
    <row r="135" spans="1:7" x14ac:dyDescent="0.55000000000000004">
      <c r="A135" s="17" t="s">
        <v>134</v>
      </c>
      <c r="B135" t="s">
        <v>165</v>
      </c>
      <c r="C135" t="s">
        <v>84</v>
      </c>
      <c r="D135" t="s">
        <v>90</v>
      </c>
      <c r="E135" t="s">
        <v>217</v>
      </c>
      <c r="G135" s="4" t="s">
        <v>27</v>
      </c>
    </row>
    <row r="136" spans="1:7" x14ac:dyDescent="0.55000000000000004">
      <c r="A136" s="5" t="s">
        <v>31</v>
      </c>
      <c r="B136" s="36">
        <f>B76/$G136</f>
        <v>24143.628784010089</v>
      </c>
      <c r="C136" s="36">
        <f t="shared" ref="C136:E136" si="156">C76/$G136</f>
        <v>3223118.0656037768</v>
      </c>
      <c r="D136" s="36">
        <f t="shared" si="156"/>
        <v>367932.47827349434</v>
      </c>
      <c r="E136" s="36">
        <f t="shared" si="156"/>
        <v>48713.925822730256</v>
      </c>
      <c r="G136" s="5">
        <v>1200</v>
      </c>
    </row>
    <row r="137" spans="1:7" x14ac:dyDescent="0.55000000000000004">
      <c r="A137" s="3" t="s">
        <v>32</v>
      </c>
      <c r="B137" s="36">
        <f t="shared" ref="B137:E137" si="157">B77/$G137</f>
        <v>62.66938015780196</v>
      </c>
      <c r="C137" s="36">
        <f t="shared" si="157"/>
        <v>29345.447398014807</v>
      </c>
      <c r="D137" s="36">
        <f t="shared" si="157"/>
        <v>3036.2955989935949</v>
      </c>
      <c r="E137" s="36">
        <f t="shared" si="157"/>
        <v>3036.2955989935949</v>
      </c>
      <c r="G137" s="3">
        <v>1200</v>
      </c>
    </row>
    <row r="138" spans="1:7" x14ac:dyDescent="0.55000000000000004">
      <c r="A138" s="3" t="s">
        <v>33</v>
      </c>
      <c r="B138" s="36">
        <f t="shared" ref="B138:E138" si="158">B78/$G138</f>
        <v>664.35031868391297</v>
      </c>
      <c r="C138" s="36">
        <f t="shared" si="158"/>
        <v>39873.66719364906</v>
      </c>
      <c r="D138" s="36">
        <f t="shared" si="158"/>
        <v>8634.0941415812813</v>
      </c>
      <c r="E138" s="36">
        <f t="shared" si="158"/>
        <v>229.21429316766168</v>
      </c>
      <c r="G138" s="3">
        <v>600</v>
      </c>
    </row>
    <row r="139" spans="1:7" x14ac:dyDescent="0.55000000000000004">
      <c r="A139" s="3" t="s">
        <v>34</v>
      </c>
      <c r="B139" s="36">
        <f t="shared" ref="B139:E139" si="159">B79/$G139</f>
        <v>31.376278499999671</v>
      </c>
      <c r="C139" s="36">
        <f t="shared" si="159"/>
        <v>2343.9864485809981</v>
      </c>
      <c r="D139" s="36">
        <f t="shared" si="159"/>
        <v>93.85324105801071</v>
      </c>
      <c r="E139" s="36">
        <f t="shared" si="159"/>
        <v>1999.1529412818691</v>
      </c>
      <c r="G139" s="3">
        <v>1</v>
      </c>
    </row>
    <row r="140" spans="1:7" x14ac:dyDescent="0.55000000000000004">
      <c r="A140" s="3" t="s">
        <v>35</v>
      </c>
      <c r="B140" s="36">
        <f t="shared" ref="B140:E140" si="160">B80/$G140</f>
        <v>1.8425077310867755E-3</v>
      </c>
      <c r="C140" s="36">
        <f t="shared" si="160"/>
        <v>8.9338608923064944E-3</v>
      </c>
      <c r="D140" s="36">
        <f t="shared" si="160"/>
        <v>3.1457758981072509E-3</v>
      </c>
      <c r="E140" s="36">
        <f t="shared" si="160"/>
        <v>3.1457758981072509E-3</v>
      </c>
      <c r="G140" s="3">
        <v>1</v>
      </c>
    </row>
    <row r="141" spans="1:7" x14ac:dyDescent="0.55000000000000004">
      <c r="A141" s="3" t="s">
        <v>36</v>
      </c>
      <c r="B141" s="36">
        <f t="shared" ref="B141:E141" si="161">B81/$G141</f>
        <v>38427.991029250894</v>
      </c>
      <c r="C141" s="36">
        <f t="shared" si="161"/>
        <v>16316901.616048621</v>
      </c>
      <c r="D141" s="36">
        <f t="shared" si="161"/>
        <v>1733119.6944841379</v>
      </c>
      <c r="E141" s="36">
        <f t="shared" si="161"/>
        <v>1733119.6944841379</v>
      </c>
      <c r="G141" s="3">
        <v>1</v>
      </c>
    </row>
    <row r="142" spans="1:7" x14ac:dyDescent="0.55000000000000004">
      <c r="A142" s="3" t="s">
        <v>37</v>
      </c>
      <c r="B142" s="36">
        <f t="shared" ref="B142:E142" si="162">B82/$G142</f>
        <v>557.16066424638666</v>
      </c>
      <c r="C142" s="36">
        <f t="shared" si="162"/>
        <v>74379.647667779471</v>
      </c>
      <c r="D142" s="36">
        <f t="shared" si="162"/>
        <v>8490.7494986190995</v>
      </c>
      <c r="E142" s="36">
        <f t="shared" si="162"/>
        <v>1124.167518986083</v>
      </c>
      <c r="G142" s="3">
        <v>1</v>
      </c>
    </row>
    <row r="143" spans="1:7" x14ac:dyDescent="0.55000000000000004">
      <c r="A143" s="3" t="s">
        <v>38</v>
      </c>
      <c r="B143" s="36">
        <f t="shared" ref="B143:E143" si="163">B83/$G143</f>
        <v>4130.5711443599012</v>
      </c>
      <c r="C143" s="36">
        <f t="shared" si="163"/>
        <v>1267166.6034784357</v>
      </c>
      <c r="D143" s="36">
        <f t="shared" si="163"/>
        <v>146842.98191036892</v>
      </c>
      <c r="E143" s="36">
        <f t="shared" si="163"/>
        <v>146842.98191036892</v>
      </c>
      <c r="G143" s="3">
        <v>1</v>
      </c>
    </row>
    <row r="144" spans="1:7" x14ac:dyDescent="0.55000000000000004">
      <c r="A144" s="3" t="s">
        <v>39</v>
      </c>
      <c r="B144" s="36">
        <f t="shared" ref="B144:E144" si="164">B84/$G144</f>
        <v>31.376278499999671</v>
      </c>
      <c r="C144" s="36">
        <f t="shared" si="164"/>
        <v>2343.9864485809981</v>
      </c>
      <c r="D144" s="36">
        <f t="shared" si="164"/>
        <v>93.85324105801071</v>
      </c>
      <c r="E144" s="36">
        <f t="shared" si="164"/>
        <v>1999.1529412818691</v>
      </c>
      <c r="G144" s="3">
        <v>1</v>
      </c>
    </row>
    <row r="145" spans="1:7" x14ac:dyDescent="0.55000000000000004">
      <c r="A145" s="3" t="s">
        <v>40</v>
      </c>
      <c r="B145" s="36">
        <f t="shared" ref="B145:E145" si="165">B85/$G145</f>
        <v>0.10651805825133108</v>
      </c>
      <c r="C145" s="36">
        <f t="shared" si="165"/>
        <v>14.487502424889193</v>
      </c>
      <c r="D145" s="36">
        <f t="shared" si="165"/>
        <v>2.2635708144936397</v>
      </c>
      <c r="E145" s="36">
        <f t="shared" si="165"/>
        <v>3.5550651405422726E-2</v>
      </c>
      <c r="G145" s="3">
        <v>1</v>
      </c>
    </row>
    <row r="146" spans="1:7" x14ac:dyDescent="0.55000000000000004">
      <c r="A146" t="s">
        <v>41</v>
      </c>
      <c r="B146" s="36">
        <f t="shared" ref="B146:E146" si="166">B86/$G146</f>
        <v>1868.261989393729</v>
      </c>
      <c r="C146" s="36">
        <f t="shared" si="166"/>
        <v>11122.240251661424</v>
      </c>
      <c r="D146" s="36">
        <f t="shared" si="166"/>
        <v>63199.576932550932</v>
      </c>
      <c r="E146" s="36">
        <f t="shared" si="166"/>
        <v>14726.685978865176</v>
      </c>
      <c r="G146" s="3">
        <v>1200</v>
      </c>
    </row>
  </sheetData>
  <mergeCells count="33">
    <mergeCell ref="B119:D119"/>
    <mergeCell ref="A133:D133"/>
    <mergeCell ref="B134:D134"/>
    <mergeCell ref="A103:D103"/>
    <mergeCell ref="B104:D104"/>
    <mergeCell ref="A102:G102"/>
    <mergeCell ref="A118:D118"/>
    <mergeCell ref="B59:D59"/>
    <mergeCell ref="F59:Y59"/>
    <mergeCell ref="B74:D74"/>
    <mergeCell ref="F74:Y74"/>
    <mergeCell ref="A73:D73"/>
    <mergeCell ref="K101:N101"/>
    <mergeCell ref="B33:F33"/>
    <mergeCell ref="F44:Y44"/>
    <mergeCell ref="A58:D58"/>
    <mergeCell ref="Y2:AC2"/>
    <mergeCell ref="B2:G2"/>
    <mergeCell ref="A21:B21"/>
    <mergeCell ref="H2:L2"/>
    <mergeCell ref="M2:Q2"/>
    <mergeCell ref="B44:D44"/>
    <mergeCell ref="A43:D43"/>
    <mergeCell ref="AU1:BD1"/>
    <mergeCell ref="AU2:AY2"/>
    <mergeCell ref="AZ2:BD2"/>
    <mergeCell ref="R2:V2"/>
    <mergeCell ref="A1:W1"/>
    <mergeCell ref="AD2:AH2"/>
    <mergeCell ref="AJ2:AN2"/>
    <mergeCell ref="AO2:AS2"/>
    <mergeCell ref="Y1:AH1"/>
    <mergeCell ref="AJ1:AS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AA5ED-1D9D-4907-A707-72DF7976E220}">
  <dimension ref="A1:T65"/>
  <sheetViews>
    <sheetView workbookViewId="0">
      <selection activeCell="C5" sqref="C5"/>
    </sheetView>
  </sheetViews>
  <sheetFormatPr defaultRowHeight="14.4" x14ac:dyDescent="0.55000000000000004"/>
  <cols>
    <col min="1" max="1" width="39.734375" bestFit="1" customWidth="1"/>
    <col min="2" max="2" width="14.68359375" customWidth="1"/>
    <col min="3" max="7" width="8.20703125" bestFit="1" customWidth="1"/>
    <col min="8" max="8" width="15.9453125" bestFit="1" customWidth="1"/>
    <col min="19" max="19" width="12.1015625" bestFit="1" customWidth="1"/>
    <col min="20" max="20" width="16.578125" bestFit="1" customWidth="1"/>
  </cols>
  <sheetData>
    <row r="1" spans="1:20" x14ac:dyDescent="0.55000000000000004">
      <c r="A1" s="142" t="s">
        <v>105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S1" s="146" t="s">
        <v>158</v>
      </c>
      <c r="T1" s="146"/>
    </row>
    <row r="2" spans="1:20" x14ac:dyDescent="0.55000000000000004">
      <c r="A2" s="95"/>
      <c r="B2" s="95"/>
      <c r="C2" s="130" t="s">
        <v>156</v>
      </c>
      <c r="D2" s="130"/>
      <c r="E2" s="130"/>
      <c r="F2" s="130"/>
      <c r="G2" s="130"/>
      <c r="H2" s="145" t="s">
        <v>157</v>
      </c>
      <c r="I2" s="145"/>
      <c r="J2" s="145"/>
      <c r="K2" s="145"/>
      <c r="L2" s="145"/>
      <c r="M2" s="130" t="s">
        <v>179</v>
      </c>
      <c r="N2" s="130"/>
      <c r="O2" s="130"/>
      <c r="P2" s="130"/>
      <c r="Q2" s="130"/>
      <c r="S2" t="s">
        <v>1</v>
      </c>
      <c r="T2" s="13" t="s">
        <v>131</v>
      </c>
    </row>
    <row r="3" spans="1:20" x14ac:dyDescent="0.55000000000000004">
      <c r="A3" s="49" t="s">
        <v>106</v>
      </c>
      <c r="B3" s="18" t="s">
        <v>119</v>
      </c>
      <c r="C3" s="82" t="s">
        <v>45</v>
      </c>
      <c r="D3" s="79" t="s">
        <v>52</v>
      </c>
      <c r="E3" s="79" t="s">
        <v>53</v>
      </c>
      <c r="F3" s="79" t="s">
        <v>54</v>
      </c>
      <c r="G3" s="80" t="s">
        <v>55</v>
      </c>
      <c r="H3" s="82" t="s">
        <v>45</v>
      </c>
      <c r="I3" s="79" t="s">
        <v>52</v>
      </c>
      <c r="J3" s="79" t="s">
        <v>53</v>
      </c>
      <c r="K3" s="79" t="s">
        <v>54</v>
      </c>
      <c r="L3" s="80" t="s">
        <v>55</v>
      </c>
      <c r="M3" s="82" t="s">
        <v>45</v>
      </c>
      <c r="N3" s="79" t="s">
        <v>52</v>
      </c>
      <c r="O3" s="79" t="s">
        <v>53</v>
      </c>
      <c r="P3" s="79" t="s">
        <v>54</v>
      </c>
      <c r="Q3" s="80" t="s">
        <v>55</v>
      </c>
      <c r="S3" t="s">
        <v>6</v>
      </c>
      <c r="T3">
        <f>'Top Level Case Parameters'!I4</f>
        <v>26000</v>
      </c>
    </row>
    <row r="4" spans="1:20" x14ac:dyDescent="0.55000000000000004">
      <c r="A4" s="5" t="s">
        <v>31</v>
      </c>
      <c r="B4" s="3">
        <f>'Top Level Case Parameters'!I18</f>
        <v>1200</v>
      </c>
      <c r="C4" s="83">
        <f>0.5*T7^3</f>
        <v>4294967296</v>
      </c>
      <c r="D4" s="56"/>
      <c r="E4" s="56"/>
      <c r="F4" s="55"/>
      <c r="G4" s="81">
        <f>(2*T7)^2*LOG(2*T7,2)</f>
        <v>201326592</v>
      </c>
      <c r="H4" s="84">
        <f>6*T5*T4</f>
        <v>840000</v>
      </c>
      <c r="I4" s="55"/>
      <c r="J4" s="3"/>
      <c r="K4" s="3"/>
      <c r="L4" s="4">
        <f>4*T5*T4</f>
        <v>560000</v>
      </c>
      <c r="M4" s="100">
        <f>C4*H4/$B4</f>
        <v>3006477107200</v>
      </c>
      <c r="N4" s="100">
        <f t="shared" ref="N4:Q4" si="0">D4*I4/$B4</f>
        <v>0</v>
      </c>
      <c r="O4" s="100">
        <f t="shared" si="0"/>
        <v>0</v>
      </c>
      <c r="P4" s="100">
        <f t="shared" si="0"/>
        <v>0</v>
      </c>
      <c r="Q4" s="100">
        <f t="shared" si="0"/>
        <v>93952409600</v>
      </c>
      <c r="S4" t="s">
        <v>8</v>
      </c>
      <c r="T4">
        <f>'Top Level Case Parameters'!I5</f>
        <v>14000</v>
      </c>
    </row>
    <row r="5" spans="1:20" x14ac:dyDescent="0.55000000000000004">
      <c r="A5" s="3" t="s">
        <v>32</v>
      </c>
      <c r="B5" s="3">
        <f>'Top Level Case Parameters'!I19</f>
        <v>1200</v>
      </c>
      <c r="C5" s="83"/>
      <c r="D5" s="56"/>
      <c r="E5" s="56">
        <f>2*T5*T3*T4^2</f>
        <v>101920000000000</v>
      </c>
      <c r="F5" s="55"/>
      <c r="G5" s="81"/>
      <c r="H5" s="84"/>
      <c r="I5" s="55"/>
      <c r="J5" s="3">
        <v>1</v>
      </c>
      <c r="K5" s="3"/>
      <c r="L5" s="4"/>
      <c r="M5" s="100">
        <f t="shared" ref="M5:M14" si="1">C5*H5/$B5</f>
        <v>0</v>
      </c>
      <c r="N5" s="100">
        <f t="shared" ref="N5:N14" si="2">D5*I5/$B5</f>
        <v>0</v>
      </c>
      <c r="O5" s="100">
        <f t="shared" ref="O5:O14" si="3">E5*J5/$B5</f>
        <v>84933333333.333328</v>
      </c>
      <c r="P5" s="100">
        <f t="shared" ref="P5:P14" si="4">F5*K5/$B5</f>
        <v>0</v>
      </c>
      <c r="Q5" s="100">
        <f t="shared" ref="Q5:Q14" si="5">G5*L5/$B5</f>
        <v>0</v>
      </c>
      <c r="S5" t="s">
        <v>10</v>
      </c>
      <c r="T5">
        <f>'Top Level Case Parameters'!I6</f>
        <v>10</v>
      </c>
    </row>
    <row r="6" spans="1:20" x14ac:dyDescent="0.55000000000000004">
      <c r="A6" s="3" t="s">
        <v>33</v>
      </c>
      <c r="B6" s="3">
        <f>'Top Level Case Parameters'!I20</f>
        <v>600</v>
      </c>
      <c r="C6" s="83"/>
      <c r="D6" s="56"/>
      <c r="E6" s="56"/>
      <c r="F6" s="55">
        <f>T4^3</f>
        <v>2744000000000</v>
      </c>
      <c r="G6" s="81"/>
      <c r="H6" s="84"/>
      <c r="I6" s="55"/>
      <c r="J6" s="3"/>
      <c r="K6" s="3">
        <v>1</v>
      </c>
      <c r="L6" s="4"/>
      <c r="M6" s="100">
        <f t="shared" si="1"/>
        <v>0</v>
      </c>
      <c r="N6" s="100">
        <f t="shared" si="2"/>
        <v>0</v>
      </c>
      <c r="O6" s="100">
        <f t="shared" si="3"/>
        <v>0</v>
      </c>
      <c r="P6" s="100">
        <f t="shared" si="4"/>
        <v>4573333333.333333</v>
      </c>
      <c r="Q6" s="100">
        <f t="shared" si="5"/>
        <v>0</v>
      </c>
      <c r="S6" t="s">
        <v>12</v>
      </c>
      <c r="T6">
        <f>'Top Level Case Parameters'!I7</f>
        <v>3</v>
      </c>
    </row>
    <row r="7" spans="1:20" x14ac:dyDescent="0.55000000000000004">
      <c r="A7" s="3" t="s">
        <v>34</v>
      </c>
      <c r="B7" s="3">
        <f>'Top Level Case Parameters'!I21</f>
        <v>10</v>
      </c>
      <c r="C7" s="83"/>
      <c r="D7" s="56">
        <f>2*T4*T5*T3</f>
        <v>7280000000</v>
      </c>
      <c r="E7" s="56"/>
      <c r="F7" s="55"/>
      <c r="G7" s="81"/>
      <c r="H7" s="84"/>
      <c r="I7" s="55">
        <v>1</v>
      </c>
      <c r="J7" s="3"/>
      <c r="K7" s="3"/>
      <c r="L7" s="4"/>
      <c r="M7" s="100">
        <f t="shared" si="1"/>
        <v>0</v>
      </c>
      <c r="N7" s="100">
        <f t="shared" si="2"/>
        <v>728000000</v>
      </c>
      <c r="O7" s="100">
        <f t="shared" si="3"/>
        <v>0</v>
      </c>
      <c r="P7" s="100">
        <f t="shared" si="4"/>
        <v>0</v>
      </c>
      <c r="Q7" s="100">
        <f t="shared" si="5"/>
        <v>0</v>
      </c>
      <c r="S7" t="s">
        <v>14</v>
      </c>
      <c r="T7">
        <f>'Top Level Case Parameters'!I8</f>
        <v>2048</v>
      </c>
    </row>
    <row r="8" spans="1:20" x14ac:dyDescent="0.55000000000000004">
      <c r="A8" s="3" t="s">
        <v>35</v>
      </c>
      <c r="B8" s="3">
        <f>'Top Level Case Parameters'!I22</f>
        <v>10</v>
      </c>
      <c r="C8" s="83"/>
      <c r="E8" s="56">
        <f>4*T6</f>
        <v>12</v>
      </c>
      <c r="F8" s="55"/>
      <c r="G8" s="81"/>
      <c r="H8" s="84"/>
      <c r="I8" s="55"/>
      <c r="J8" s="3">
        <f>T5*T3</f>
        <v>260000</v>
      </c>
      <c r="K8" s="3"/>
      <c r="L8" s="4"/>
      <c r="M8" s="100">
        <f t="shared" si="1"/>
        <v>0</v>
      </c>
      <c r="N8" s="100">
        <f t="shared" si="2"/>
        <v>0</v>
      </c>
      <c r="O8" s="100">
        <f t="shared" si="3"/>
        <v>312000</v>
      </c>
      <c r="P8" s="100">
        <f t="shared" si="4"/>
        <v>0</v>
      </c>
      <c r="Q8" s="100">
        <f t="shared" si="5"/>
        <v>0</v>
      </c>
      <c r="S8" t="s">
        <v>16</v>
      </c>
      <c r="T8">
        <f>'Top Level Case Parameters'!I9</f>
        <v>10</v>
      </c>
    </row>
    <row r="9" spans="1:20" x14ac:dyDescent="0.55000000000000004">
      <c r="A9" s="3" t="s">
        <v>36</v>
      </c>
      <c r="B9" s="3">
        <f>'Top Level Case Parameters'!I23</f>
        <v>10</v>
      </c>
      <c r="C9" s="83"/>
      <c r="D9" s="56"/>
      <c r="E9" s="56">
        <f>T5*T3*T4^2</f>
        <v>50960000000000</v>
      </c>
      <c r="F9" s="55"/>
      <c r="G9" s="81"/>
      <c r="H9" s="84"/>
      <c r="I9" s="55"/>
      <c r="J9" s="3">
        <v>1</v>
      </c>
      <c r="K9" s="3"/>
      <c r="L9" s="4"/>
      <c r="M9" s="100">
        <f t="shared" si="1"/>
        <v>0</v>
      </c>
      <c r="N9" s="100">
        <f t="shared" si="2"/>
        <v>0</v>
      </c>
      <c r="O9" s="100">
        <f t="shared" si="3"/>
        <v>5096000000000</v>
      </c>
      <c r="P9" s="100">
        <f t="shared" si="4"/>
        <v>0</v>
      </c>
      <c r="Q9" s="100">
        <f t="shared" si="5"/>
        <v>0</v>
      </c>
      <c r="S9" t="s">
        <v>18</v>
      </c>
      <c r="T9">
        <f>'Top Level Case Parameters'!I10</f>
        <v>10</v>
      </c>
    </row>
    <row r="10" spans="1:20" x14ac:dyDescent="0.55000000000000004">
      <c r="A10" s="3" t="s">
        <v>37</v>
      </c>
      <c r="B10" s="3">
        <f>'Top Level Case Parameters'!I24</f>
        <v>10</v>
      </c>
      <c r="C10" s="83">
        <f>0.5*T7^3</f>
        <v>4294967296</v>
      </c>
      <c r="D10" s="56"/>
      <c r="E10" s="56"/>
      <c r="F10" s="55"/>
      <c r="G10" s="81">
        <f>(2*T7)^2*LOG(2*T7,2)</f>
        <v>201326592</v>
      </c>
      <c r="H10" s="84">
        <f>6*T8</f>
        <v>60</v>
      </c>
      <c r="I10" s="55"/>
      <c r="J10" s="3"/>
      <c r="K10" s="3"/>
      <c r="L10" s="4">
        <f>4*T8</f>
        <v>40</v>
      </c>
      <c r="M10" s="100">
        <f t="shared" si="1"/>
        <v>25769803776</v>
      </c>
      <c r="N10" s="100">
        <f t="shared" si="2"/>
        <v>0</v>
      </c>
      <c r="O10" s="100">
        <f t="shared" si="3"/>
        <v>0</v>
      </c>
      <c r="P10" s="100">
        <f t="shared" si="4"/>
        <v>0</v>
      </c>
      <c r="Q10" s="100">
        <f t="shared" si="5"/>
        <v>805306368</v>
      </c>
      <c r="S10" t="s">
        <v>20</v>
      </c>
      <c r="T10">
        <f>'Top Level Case Parameters'!I11</f>
        <v>5100</v>
      </c>
    </row>
    <row r="11" spans="1:20" x14ac:dyDescent="0.55000000000000004">
      <c r="A11" s="3" t="s">
        <v>38</v>
      </c>
      <c r="B11" s="3">
        <f>'Top Level Case Parameters'!I25</f>
        <v>10</v>
      </c>
      <c r="C11" s="83"/>
      <c r="D11" s="56"/>
      <c r="E11" s="56">
        <f>2*T3*T4^2</f>
        <v>10192000000000</v>
      </c>
      <c r="F11" s="55"/>
      <c r="G11" s="81"/>
      <c r="H11" s="84"/>
      <c r="I11" s="55"/>
      <c r="J11" s="3">
        <v>1</v>
      </c>
      <c r="K11" s="3"/>
      <c r="L11" s="4"/>
      <c r="M11" s="100">
        <f t="shared" si="1"/>
        <v>0</v>
      </c>
      <c r="N11" s="100">
        <f t="shared" si="2"/>
        <v>0</v>
      </c>
      <c r="O11" s="100">
        <f t="shared" si="3"/>
        <v>1019200000000</v>
      </c>
      <c r="P11" s="100">
        <f t="shared" si="4"/>
        <v>0</v>
      </c>
      <c r="Q11" s="100">
        <f t="shared" si="5"/>
        <v>0</v>
      </c>
      <c r="S11" t="s">
        <v>22</v>
      </c>
      <c r="T11">
        <f>'Top Level Case Parameters'!I12</f>
        <v>26000</v>
      </c>
    </row>
    <row r="12" spans="1:20" x14ac:dyDescent="0.55000000000000004">
      <c r="A12" s="3" t="s">
        <v>39</v>
      </c>
      <c r="B12" s="3">
        <f>'Top Level Case Parameters'!I26</f>
        <v>10</v>
      </c>
      <c r="C12" s="83"/>
      <c r="D12" s="56">
        <f>2*T5*T3*T4</f>
        <v>7280000000</v>
      </c>
      <c r="E12" s="56"/>
      <c r="F12" s="55"/>
      <c r="G12" s="81"/>
      <c r="H12" s="84"/>
      <c r="I12" s="55">
        <v>1</v>
      </c>
      <c r="J12" s="3"/>
      <c r="K12" s="3"/>
      <c r="L12" s="4"/>
      <c r="M12" s="100">
        <f t="shared" si="1"/>
        <v>0</v>
      </c>
      <c r="N12" s="100">
        <f t="shared" si="2"/>
        <v>728000000</v>
      </c>
      <c r="O12" s="100">
        <f t="shared" si="3"/>
        <v>0</v>
      </c>
      <c r="P12" s="100">
        <f t="shared" si="4"/>
        <v>0</v>
      </c>
      <c r="Q12" s="100">
        <f t="shared" si="5"/>
        <v>0</v>
      </c>
    </row>
    <row r="13" spans="1:20" x14ac:dyDescent="0.55000000000000004">
      <c r="A13" s="3" t="s">
        <v>40</v>
      </c>
      <c r="B13" s="3">
        <f>'Top Level Case Parameters'!I27</f>
        <v>10</v>
      </c>
      <c r="C13" s="83"/>
      <c r="D13" s="56"/>
      <c r="E13" s="56"/>
      <c r="F13" s="55"/>
      <c r="G13" s="81">
        <f>2*T11*LOG(SQRT(T11),2)</f>
        <v>381321.82407288265</v>
      </c>
      <c r="H13" s="84"/>
      <c r="I13" s="55"/>
      <c r="J13" s="3"/>
      <c r="K13" s="3"/>
      <c r="L13" s="4">
        <f>3*T5</f>
        <v>30</v>
      </c>
      <c r="M13" s="100">
        <f t="shared" si="1"/>
        <v>0</v>
      </c>
      <c r="N13" s="100">
        <f t="shared" si="2"/>
        <v>0</v>
      </c>
      <c r="O13" s="100">
        <f t="shared" si="3"/>
        <v>0</v>
      </c>
      <c r="P13" s="100">
        <f t="shared" si="4"/>
        <v>0</v>
      </c>
      <c r="Q13" s="100">
        <f t="shared" si="5"/>
        <v>1143965.4722186481</v>
      </c>
    </row>
    <row r="14" spans="1:20" x14ac:dyDescent="0.55000000000000004">
      <c r="A14" t="s">
        <v>41</v>
      </c>
      <c r="B14" s="3">
        <f>'Top Level Case Parameters'!I28</f>
        <v>1200</v>
      </c>
      <c r="C14" s="83">
        <f>2*T4*T6</f>
        <v>84000</v>
      </c>
      <c r="D14" s="56"/>
      <c r="E14" s="56"/>
      <c r="F14" s="55"/>
      <c r="G14" s="81"/>
      <c r="H14" s="84">
        <f>8*T5*T4*T3</f>
        <v>29120000000</v>
      </c>
      <c r="I14" s="55"/>
      <c r="J14" s="3"/>
      <c r="K14" s="3"/>
      <c r="L14" s="4"/>
      <c r="M14" s="100">
        <f t="shared" si="1"/>
        <v>2038400000000</v>
      </c>
      <c r="N14" s="100">
        <f t="shared" si="2"/>
        <v>0</v>
      </c>
      <c r="O14" s="100">
        <f t="shared" si="3"/>
        <v>0</v>
      </c>
      <c r="P14" s="100">
        <f t="shared" si="4"/>
        <v>0</v>
      </c>
      <c r="Q14" s="100">
        <f t="shared" si="5"/>
        <v>0</v>
      </c>
    </row>
    <row r="15" spans="1:20" x14ac:dyDescent="0.55000000000000004">
      <c r="A15" s="8"/>
      <c r="B15" s="3"/>
      <c r="C15" s="3"/>
      <c r="D15" s="56"/>
      <c r="E15" s="56"/>
      <c r="F15" s="56"/>
      <c r="G15" s="56"/>
      <c r="H15" s="99"/>
      <c r="I15" s="99"/>
      <c r="J15" s="99"/>
    </row>
    <row r="17" spans="1:20" x14ac:dyDescent="0.55000000000000004">
      <c r="A17" s="137" t="s">
        <v>26</v>
      </c>
      <c r="B17" s="137"/>
      <c r="C17" s="137"/>
      <c r="D17" s="137"/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7"/>
      <c r="S17" s="146" t="s">
        <v>158</v>
      </c>
      <c r="T17" s="146"/>
    </row>
    <row r="18" spans="1:20" x14ac:dyDescent="0.55000000000000004">
      <c r="A18" s="98"/>
      <c r="B18" s="98"/>
      <c r="C18" s="130" t="s">
        <v>156</v>
      </c>
      <c r="D18" s="130"/>
      <c r="E18" s="130"/>
      <c r="F18" s="130"/>
      <c r="G18" s="130"/>
      <c r="H18" s="145" t="s">
        <v>157</v>
      </c>
      <c r="I18" s="145"/>
      <c r="J18" s="145"/>
      <c r="K18" s="145"/>
      <c r="L18" s="145"/>
      <c r="M18" s="130" t="s">
        <v>179</v>
      </c>
      <c r="N18" s="130"/>
      <c r="O18" s="130"/>
      <c r="P18" s="130"/>
      <c r="Q18" s="130"/>
      <c r="S18" t="s">
        <v>1</v>
      </c>
      <c r="T18" s="13" t="s">
        <v>131</v>
      </c>
    </row>
    <row r="19" spans="1:20" x14ac:dyDescent="0.55000000000000004">
      <c r="A19" s="49" t="s">
        <v>106</v>
      </c>
      <c r="B19" s="18" t="s">
        <v>119</v>
      </c>
      <c r="C19" s="82" t="s">
        <v>45</v>
      </c>
      <c r="D19" s="79" t="s">
        <v>52</v>
      </c>
      <c r="E19" s="79" t="s">
        <v>53</v>
      </c>
      <c r="F19" s="79" t="s">
        <v>54</v>
      </c>
      <c r="G19" s="80" t="s">
        <v>55</v>
      </c>
      <c r="H19" s="82" t="s">
        <v>45</v>
      </c>
      <c r="I19" s="79" t="s">
        <v>52</v>
      </c>
      <c r="J19" s="79" t="s">
        <v>53</v>
      </c>
      <c r="K19" s="79" t="s">
        <v>54</v>
      </c>
      <c r="L19" s="80" t="s">
        <v>55</v>
      </c>
      <c r="M19" s="82" t="s">
        <v>45</v>
      </c>
      <c r="N19" s="79" t="s">
        <v>52</v>
      </c>
      <c r="O19" s="79" t="s">
        <v>53</v>
      </c>
      <c r="P19" s="79" t="s">
        <v>54</v>
      </c>
      <c r="Q19" s="80" t="s">
        <v>55</v>
      </c>
      <c r="S19" t="s">
        <v>6</v>
      </c>
      <c r="T19">
        <f>'Top Level Case Parameters'!G4</f>
        <v>13000</v>
      </c>
    </row>
    <row r="20" spans="1:20" x14ac:dyDescent="0.55000000000000004">
      <c r="A20" s="5" t="s">
        <v>31</v>
      </c>
      <c r="B20" s="3">
        <f>'Top Level Case Parameters'!G18</f>
        <v>1200</v>
      </c>
      <c r="C20" s="83">
        <f>0.5*T23^3</f>
        <v>536870912</v>
      </c>
      <c r="D20" s="56"/>
      <c r="E20" s="56"/>
      <c r="F20" s="55"/>
      <c r="G20" s="81">
        <f>(2*T23)^2*LOG(2*T23,2)</f>
        <v>46137344</v>
      </c>
      <c r="H20" s="84">
        <f>6*T21*T20</f>
        <v>192000</v>
      </c>
      <c r="I20" s="55"/>
      <c r="J20" s="3"/>
      <c r="K20" s="3"/>
      <c r="L20" s="4">
        <f>4*T21*T20</f>
        <v>128000</v>
      </c>
      <c r="M20" s="100">
        <f>C20*H20/$B20</f>
        <v>85899345920</v>
      </c>
      <c r="N20" s="100">
        <f t="shared" ref="N20:N30" si="6">D20*I20/$B20</f>
        <v>0</v>
      </c>
      <c r="O20" s="100">
        <f t="shared" ref="O20:O30" si="7">E20*J20/$B20</f>
        <v>0</v>
      </c>
      <c r="P20" s="100">
        <f t="shared" ref="P20:P30" si="8">F20*K20/$B20</f>
        <v>0</v>
      </c>
      <c r="Q20" s="100">
        <f t="shared" ref="Q20:Q30" si="9">G20*L20/$B20</f>
        <v>4921316693.333333</v>
      </c>
      <c r="S20" t="s">
        <v>8</v>
      </c>
      <c r="T20">
        <f>'Top Level Case Parameters'!G5</f>
        <v>6400</v>
      </c>
    </row>
    <row r="21" spans="1:20" x14ac:dyDescent="0.55000000000000004">
      <c r="A21" s="3" t="s">
        <v>32</v>
      </c>
      <c r="B21" s="3">
        <f>'Top Level Case Parameters'!G19</f>
        <v>1200</v>
      </c>
      <c r="C21" s="83"/>
      <c r="D21" s="56"/>
      <c r="E21" s="56">
        <f>2*T21*T19*T20^2</f>
        <v>5324800000000</v>
      </c>
      <c r="F21" s="55"/>
      <c r="G21" s="81"/>
      <c r="H21" s="84"/>
      <c r="I21" s="55"/>
      <c r="J21" s="3">
        <v>1</v>
      </c>
      <c r="K21" s="3"/>
      <c r="L21" s="4"/>
      <c r="M21" s="100">
        <f t="shared" ref="M21:M30" si="10">C21*H21/$B21</f>
        <v>0</v>
      </c>
      <c r="N21" s="100">
        <f t="shared" si="6"/>
        <v>0</v>
      </c>
      <c r="O21" s="100">
        <f t="shared" si="7"/>
        <v>4437333333.333333</v>
      </c>
      <c r="P21" s="100">
        <f t="shared" si="8"/>
        <v>0</v>
      </c>
      <c r="Q21" s="100">
        <f t="shared" si="9"/>
        <v>0</v>
      </c>
      <c r="S21" t="s">
        <v>10</v>
      </c>
      <c r="T21">
        <f>'Top Level Case Parameters'!G6</f>
        <v>5</v>
      </c>
    </row>
    <row r="22" spans="1:20" x14ac:dyDescent="0.55000000000000004">
      <c r="A22" s="3" t="s">
        <v>33</v>
      </c>
      <c r="B22" s="3">
        <f>'Top Level Case Parameters'!G20</f>
        <v>600</v>
      </c>
      <c r="C22" s="83"/>
      <c r="D22" s="56"/>
      <c r="E22" s="56"/>
      <c r="F22" s="55">
        <f>T20^3</f>
        <v>262144000000</v>
      </c>
      <c r="G22" s="81"/>
      <c r="H22" s="84"/>
      <c r="I22" s="55"/>
      <c r="J22" s="3"/>
      <c r="K22" s="3">
        <v>1</v>
      </c>
      <c r="L22" s="4"/>
      <c r="M22" s="100">
        <f t="shared" si="10"/>
        <v>0</v>
      </c>
      <c r="N22" s="100">
        <f t="shared" si="6"/>
        <v>0</v>
      </c>
      <c r="O22" s="100">
        <f t="shared" si="7"/>
        <v>0</v>
      </c>
      <c r="P22" s="100">
        <f t="shared" si="8"/>
        <v>436906666.66666669</v>
      </c>
      <c r="Q22" s="100">
        <f t="shared" si="9"/>
        <v>0</v>
      </c>
      <c r="S22" t="s">
        <v>12</v>
      </c>
      <c r="T22">
        <f>'Top Level Case Parameters'!G7</f>
        <v>3</v>
      </c>
    </row>
    <row r="23" spans="1:20" x14ac:dyDescent="0.55000000000000004">
      <c r="A23" s="3" t="s">
        <v>34</v>
      </c>
      <c r="B23" s="3">
        <f>'Top Level Case Parameters'!G21</f>
        <v>100</v>
      </c>
      <c r="C23" s="83"/>
      <c r="D23" s="56">
        <f>2*T20*T21*T19</f>
        <v>832000000</v>
      </c>
      <c r="E23" s="56"/>
      <c r="F23" s="55"/>
      <c r="G23" s="81"/>
      <c r="H23" s="84"/>
      <c r="I23" s="55">
        <v>1</v>
      </c>
      <c r="J23" s="3"/>
      <c r="K23" s="3"/>
      <c r="L23" s="4"/>
      <c r="M23" s="100">
        <f t="shared" si="10"/>
        <v>0</v>
      </c>
      <c r="N23" s="100">
        <f t="shared" si="6"/>
        <v>8320000</v>
      </c>
      <c r="O23" s="100">
        <f t="shared" si="7"/>
        <v>0</v>
      </c>
      <c r="P23" s="100">
        <f t="shared" si="8"/>
        <v>0</v>
      </c>
      <c r="Q23" s="100">
        <f t="shared" si="9"/>
        <v>0</v>
      </c>
      <c r="S23" t="s">
        <v>14</v>
      </c>
      <c r="T23">
        <f>'Top Level Case Parameters'!G8</f>
        <v>1024</v>
      </c>
    </row>
    <row r="24" spans="1:20" x14ac:dyDescent="0.55000000000000004">
      <c r="A24" s="3" t="s">
        <v>35</v>
      </c>
      <c r="B24" s="3">
        <f>'Top Level Case Parameters'!G22</f>
        <v>100</v>
      </c>
      <c r="C24" s="83"/>
      <c r="E24" s="56">
        <f>4*T22</f>
        <v>12</v>
      </c>
      <c r="F24" s="55"/>
      <c r="G24" s="81"/>
      <c r="H24" s="84"/>
      <c r="I24" s="55"/>
      <c r="J24" s="3">
        <f>T21*T19</f>
        <v>65000</v>
      </c>
      <c r="K24" s="3"/>
      <c r="L24" s="4"/>
      <c r="M24" s="100">
        <f t="shared" si="10"/>
        <v>0</v>
      </c>
      <c r="N24" s="100">
        <f t="shared" si="6"/>
        <v>0</v>
      </c>
      <c r="O24" s="100">
        <f t="shared" si="7"/>
        <v>7800</v>
      </c>
      <c r="P24" s="100">
        <f t="shared" si="8"/>
        <v>0</v>
      </c>
      <c r="Q24" s="100">
        <f t="shared" si="9"/>
        <v>0</v>
      </c>
      <c r="S24" t="s">
        <v>16</v>
      </c>
      <c r="T24">
        <f>'Top Level Case Parameters'!G9</f>
        <v>10</v>
      </c>
    </row>
    <row r="25" spans="1:20" x14ac:dyDescent="0.55000000000000004">
      <c r="A25" s="3" t="s">
        <v>36</v>
      </c>
      <c r="B25" s="3">
        <f>'Top Level Case Parameters'!G23</f>
        <v>100</v>
      </c>
      <c r="C25" s="83"/>
      <c r="D25" s="56"/>
      <c r="E25" s="56">
        <f>T21*T19*T20^2</f>
        <v>2662400000000</v>
      </c>
      <c r="F25" s="55"/>
      <c r="G25" s="81"/>
      <c r="H25" s="84"/>
      <c r="I25" s="55"/>
      <c r="J25" s="3">
        <v>1</v>
      </c>
      <c r="K25" s="3"/>
      <c r="L25" s="4"/>
      <c r="M25" s="100">
        <f t="shared" si="10"/>
        <v>0</v>
      </c>
      <c r="N25" s="100">
        <f t="shared" si="6"/>
        <v>0</v>
      </c>
      <c r="O25" s="100">
        <f t="shared" si="7"/>
        <v>26624000000</v>
      </c>
      <c r="P25" s="100">
        <f t="shared" si="8"/>
        <v>0</v>
      </c>
      <c r="Q25" s="100">
        <f t="shared" si="9"/>
        <v>0</v>
      </c>
      <c r="S25" t="s">
        <v>18</v>
      </c>
      <c r="T25">
        <f>'Top Level Case Parameters'!G10</f>
        <v>10</v>
      </c>
    </row>
    <row r="26" spans="1:20" x14ac:dyDescent="0.55000000000000004">
      <c r="A26" s="3" t="s">
        <v>37</v>
      </c>
      <c r="B26" s="3">
        <f>'Top Level Case Parameters'!G24</f>
        <v>100</v>
      </c>
      <c r="C26" s="83">
        <f>0.5*T23^3</f>
        <v>536870912</v>
      </c>
      <c r="D26" s="56"/>
      <c r="E26" s="56"/>
      <c r="F26" s="55"/>
      <c r="G26" s="81">
        <f>(2*T23)^2*LOG(2*T23,2)</f>
        <v>46137344</v>
      </c>
      <c r="H26" s="84">
        <f>6*T24</f>
        <v>60</v>
      </c>
      <c r="I26" s="55"/>
      <c r="J26" s="3"/>
      <c r="K26" s="3"/>
      <c r="L26" s="4">
        <f>4*T24</f>
        <v>40</v>
      </c>
      <c r="M26" s="100">
        <f t="shared" si="10"/>
        <v>322122547.19999999</v>
      </c>
      <c r="N26" s="100">
        <f t="shared" si="6"/>
        <v>0</v>
      </c>
      <c r="O26" s="100">
        <f t="shared" si="7"/>
        <v>0</v>
      </c>
      <c r="P26" s="100">
        <f t="shared" si="8"/>
        <v>0</v>
      </c>
      <c r="Q26" s="100">
        <f t="shared" si="9"/>
        <v>18454937.600000001</v>
      </c>
      <c r="S26" t="s">
        <v>20</v>
      </c>
      <c r="T26">
        <f>'Top Level Case Parameters'!G11</f>
        <v>2600</v>
      </c>
    </row>
    <row r="27" spans="1:20" x14ac:dyDescent="0.55000000000000004">
      <c r="A27" s="3" t="s">
        <v>38</v>
      </c>
      <c r="B27" s="3">
        <f>'Top Level Case Parameters'!G25</f>
        <v>100</v>
      </c>
      <c r="C27" s="83"/>
      <c r="D27" s="56"/>
      <c r="E27" s="56">
        <f>2*T19*T20^2</f>
        <v>1064960000000</v>
      </c>
      <c r="F27" s="55"/>
      <c r="G27" s="81"/>
      <c r="H27" s="84"/>
      <c r="I27" s="55"/>
      <c r="J27" s="3">
        <v>1</v>
      </c>
      <c r="K27" s="3"/>
      <c r="L27" s="4"/>
      <c r="M27" s="100">
        <f t="shared" si="10"/>
        <v>0</v>
      </c>
      <c r="N27" s="100">
        <f t="shared" si="6"/>
        <v>0</v>
      </c>
      <c r="O27" s="100">
        <f t="shared" si="7"/>
        <v>10649600000</v>
      </c>
      <c r="P27" s="100">
        <f t="shared" si="8"/>
        <v>0</v>
      </c>
      <c r="Q27" s="100">
        <f t="shared" si="9"/>
        <v>0</v>
      </c>
      <c r="S27" t="s">
        <v>22</v>
      </c>
      <c r="T27">
        <f>'Top Level Case Parameters'!G12</f>
        <v>13000</v>
      </c>
    </row>
    <row r="28" spans="1:20" x14ac:dyDescent="0.55000000000000004">
      <c r="A28" s="3" t="s">
        <v>39</v>
      </c>
      <c r="B28" s="3">
        <f>'Top Level Case Parameters'!G26</f>
        <v>100</v>
      </c>
      <c r="C28" s="83"/>
      <c r="D28" s="56">
        <f>2*T21*T19*T20</f>
        <v>832000000</v>
      </c>
      <c r="E28" s="56"/>
      <c r="F28" s="55"/>
      <c r="G28" s="81"/>
      <c r="H28" s="84"/>
      <c r="I28" s="55">
        <v>1</v>
      </c>
      <c r="J28" s="3"/>
      <c r="K28" s="3"/>
      <c r="L28" s="4"/>
      <c r="M28" s="100">
        <f t="shared" si="10"/>
        <v>0</v>
      </c>
      <c r="N28" s="100">
        <f t="shared" si="6"/>
        <v>8320000</v>
      </c>
      <c r="O28" s="100">
        <f t="shared" si="7"/>
        <v>0</v>
      </c>
      <c r="P28" s="100">
        <f t="shared" si="8"/>
        <v>0</v>
      </c>
      <c r="Q28" s="100">
        <f t="shared" si="9"/>
        <v>0</v>
      </c>
    </row>
    <row r="29" spans="1:20" x14ac:dyDescent="0.55000000000000004">
      <c r="A29" s="3" t="s">
        <v>40</v>
      </c>
      <c r="B29" s="3">
        <f>'Top Level Case Parameters'!G27</f>
        <v>100</v>
      </c>
      <c r="C29" s="83"/>
      <c r="D29" s="56"/>
      <c r="E29" s="56"/>
      <c r="F29" s="55"/>
      <c r="G29" s="81">
        <f>2*T27*LOG(SQRT(T27),2)</f>
        <v>177660.91203644132</v>
      </c>
      <c r="H29" s="84"/>
      <c r="I29" s="55"/>
      <c r="J29" s="3"/>
      <c r="K29" s="3"/>
      <c r="L29" s="4">
        <f>3*T21</f>
        <v>15</v>
      </c>
      <c r="M29" s="100">
        <f t="shared" si="10"/>
        <v>0</v>
      </c>
      <c r="N29" s="100">
        <f t="shared" si="6"/>
        <v>0</v>
      </c>
      <c r="O29" s="100">
        <f t="shared" si="7"/>
        <v>0</v>
      </c>
      <c r="P29" s="100">
        <f t="shared" si="8"/>
        <v>0</v>
      </c>
      <c r="Q29" s="100">
        <f t="shared" si="9"/>
        <v>26649.136805466198</v>
      </c>
    </row>
    <row r="30" spans="1:20" x14ac:dyDescent="0.55000000000000004">
      <c r="A30" t="s">
        <v>41</v>
      </c>
      <c r="B30" s="3">
        <f>'Top Level Case Parameters'!G28</f>
        <v>1200</v>
      </c>
      <c r="C30" s="83">
        <f>2*T20*T22</f>
        <v>38400</v>
      </c>
      <c r="D30" s="56"/>
      <c r="E30" s="56"/>
      <c r="F30" s="55"/>
      <c r="G30" s="81"/>
      <c r="H30" s="84">
        <f>8*T21*T20*T19</f>
        <v>3328000000</v>
      </c>
      <c r="I30" s="55"/>
      <c r="J30" s="3"/>
      <c r="K30" s="3"/>
      <c r="L30" s="4"/>
      <c r="M30" s="100">
        <f t="shared" si="10"/>
        <v>106496000000</v>
      </c>
      <c r="N30" s="100">
        <f t="shared" si="6"/>
        <v>0</v>
      </c>
      <c r="O30" s="100">
        <f t="shared" si="7"/>
        <v>0</v>
      </c>
      <c r="P30" s="100">
        <f t="shared" si="8"/>
        <v>0</v>
      </c>
      <c r="Q30" s="100">
        <f t="shared" si="9"/>
        <v>0</v>
      </c>
    </row>
    <row r="31" spans="1:20" x14ac:dyDescent="0.55000000000000004">
      <c r="A31" s="8"/>
      <c r="B31" s="3"/>
      <c r="C31" s="3"/>
      <c r="D31" s="56"/>
      <c r="E31" s="56"/>
      <c r="F31" s="56"/>
      <c r="G31" s="56"/>
      <c r="H31" s="99"/>
      <c r="I31" s="99"/>
      <c r="J31" s="99"/>
    </row>
    <row r="32" spans="1:20" x14ac:dyDescent="0.55000000000000004">
      <c r="C32" s="97"/>
      <c r="D32" s="97"/>
      <c r="E32" s="97"/>
      <c r="F32" s="97"/>
      <c r="G32" s="97"/>
    </row>
    <row r="33" spans="1:20" x14ac:dyDescent="0.55000000000000004">
      <c r="B33" s="49"/>
    </row>
    <row r="34" spans="1:20" x14ac:dyDescent="0.55000000000000004">
      <c r="A34" s="137" t="s">
        <v>141</v>
      </c>
      <c r="B34" s="137"/>
      <c r="C34" s="137"/>
      <c r="D34" s="137"/>
      <c r="E34" s="137"/>
      <c r="F34" s="137"/>
      <c r="G34" s="137"/>
      <c r="H34" s="137"/>
      <c r="I34" s="137"/>
      <c r="J34" s="137"/>
      <c r="K34" s="137"/>
      <c r="L34" s="137"/>
      <c r="M34" s="137"/>
      <c r="N34" s="137"/>
      <c r="O34" s="137"/>
      <c r="P34" s="137"/>
      <c r="Q34" s="137"/>
      <c r="S34" s="146" t="s">
        <v>158</v>
      </c>
      <c r="T34" s="146"/>
    </row>
    <row r="35" spans="1:20" x14ac:dyDescent="0.55000000000000004">
      <c r="A35" s="98"/>
      <c r="B35" s="98"/>
      <c r="C35" s="130" t="s">
        <v>156</v>
      </c>
      <c r="D35" s="130"/>
      <c r="E35" s="130"/>
      <c r="F35" s="130"/>
      <c r="G35" s="130"/>
      <c r="H35" s="145" t="s">
        <v>157</v>
      </c>
      <c r="I35" s="145"/>
      <c r="J35" s="145"/>
      <c r="K35" s="145"/>
      <c r="L35" s="145"/>
      <c r="M35" s="130" t="s">
        <v>179</v>
      </c>
      <c r="N35" s="130"/>
      <c r="O35" s="130"/>
      <c r="P35" s="130"/>
      <c r="Q35" s="130"/>
      <c r="S35" t="s">
        <v>1</v>
      </c>
      <c r="T35" s="13" t="s">
        <v>131</v>
      </c>
    </row>
    <row r="36" spans="1:20" x14ac:dyDescent="0.55000000000000004">
      <c r="A36" s="49" t="s">
        <v>106</v>
      </c>
      <c r="B36" s="18" t="s">
        <v>119</v>
      </c>
      <c r="C36" s="82" t="s">
        <v>45</v>
      </c>
      <c r="D36" s="79" t="s">
        <v>52</v>
      </c>
      <c r="E36" s="79" t="s">
        <v>53</v>
      </c>
      <c r="F36" s="79" t="s">
        <v>54</v>
      </c>
      <c r="G36" s="80" t="s">
        <v>55</v>
      </c>
      <c r="H36" s="82" t="s">
        <v>45</v>
      </c>
      <c r="I36" s="79" t="s">
        <v>52</v>
      </c>
      <c r="J36" s="79" t="s">
        <v>53</v>
      </c>
      <c r="K36" s="79" t="s">
        <v>54</v>
      </c>
      <c r="L36" s="80" t="s">
        <v>55</v>
      </c>
      <c r="M36" s="82" t="s">
        <v>45</v>
      </c>
      <c r="N36" s="79" t="s">
        <v>52</v>
      </c>
      <c r="O36" s="79" t="s">
        <v>53</v>
      </c>
      <c r="P36" s="79" t="s">
        <v>54</v>
      </c>
      <c r="Q36" s="80" t="s">
        <v>55</v>
      </c>
      <c r="S36" t="s">
        <v>6</v>
      </c>
      <c r="T36">
        <f>'Top Level Case Parameters'!D4</f>
        <v>26000</v>
      </c>
    </row>
    <row r="37" spans="1:20" x14ac:dyDescent="0.55000000000000004">
      <c r="A37" s="5" t="s">
        <v>31</v>
      </c>
      <c r="B37" s="3">
        <f>'Top Level Case Parameters'!D18</f>
        <v>1200</v>
      </c>
      <c r="C37" s="83">
        <f>0.5*T40^3</f>
        <v>4294967296</v>
      </c>
      <c r="D37" s="56"/>
      <c r="E37" s="56"/>
      <c r="F37" s="55"/>
      <c r="G37" s="81">
        <f>(2*T40)^2*LOG(2*T40,2)</f>
        <v>201326592</v>
      </c>
      <c r="H37" s="84">
        <f>6*T38*T37</f>
        <v>840000</v>
      </c>
      <c r="I37" s="55"/>
      <c r="J37" s="3"/>
      <c r="K37" s="3"/>
      <c r="L37" s="4">
        <f>4*T38*T37</f>
        <v>560000</v>
      </c>
      <c r="M37" s="100">
        <f>C37*H37/$B37</f>
        <v>3006477107200</v>
      </c>
      <c r="N37" s="100">
        <f t="shared" ref="N37:N47" si="11">D37*I37/$B37</f>
        <v>0</v>
      </c>
      <c r="O37" s="100">
        <f t="shared" ref="O37:O47" si="12">E37*J37/$B37</f>
        <v>0</v>
      </c>
      <c r="P37" s="100">
        <f t="shared" ref="P37:P47" si="13">F37*K37/$B37</f>
        <v>0</v>
      </c>
      <c r="Q37" s="100">
        <f t="shared" ref="Q37:Q47" si="14">G37*L37/$B37</f>
        <v>93952409600</v>
      </c>
      <c r="S37" t="s">
        <v>8</v>
      </c>
      <c r="T37">
        <f>'Top Level Case Parameters'!D5</f>
        <v>14000</v>
      </c>
    </row>
    <row r="38" spans="1:20" x14ac:dyDescent="0.55000000000000004">
      <c r="A38" s="3" t="s">
        <v>32</v>
      </c>
      <c r="B38" s="3">
        <f>'Top Level Case Parameters'!D19</f>
        <v>1200</v>
      </c>
      <c r="C38" s="83"/>
      <c r="D38" s="56"/>
      <c r="E38" s="56">
        <f>2*T38*T36*T37^2</f>
        <v>101920000000000</v>
      </c>
      <c r="F38" s="55"/>
      <c r="G38" s="81"/>
      <c r="H38" s="84"/>
      <c r="I38" s="55"/>
      <c r="J38" s="3">
        <v>1</v>
      </c>
      <c r="K38" s="3"/>
      <c r="L38" s="4"/>
      <c r="M38" s="100">
        <f t="shared" ref="M38:M47" si="15">C38*H38/$B38</f>
        <v>0</v>
      </c>
      <c r="N38" s="100">
        <f t="shared" si="11"/>
        <v>0</v>
      </c>
      <c r="O38" s="100">
        <f t="shared" si="12"/>
        <v>84933333333.333328</v>
      </c>
      <c r="P38" s="100">
        <f t="shared" si="13"/>
        <v>0</v>
      </c>
      <c r="Q38" s="100">
        <f t="shared" si="14"/>
        <v>0</v>
      </c>
      <c r="S38" t="s">
        <v>10</v>
      </c>
      <c r="T38">
        <f>'Top Level Case Parameters'!D6</f>
        <v>10</v>
      </c>
    </row>
    <row r="39" spans="1:20" x14ac:dyDescent="0.55000000000000004">
      <c r="A39" s="3" t="s">
        <v>33</v>
      </c>
      <c r="B39" s="3">
        <f>'Top Level Case Parameters'!D20</f>
        <v>600</v>
      </c>
      <c r="C39" s="83"/>
      <c r="D39" s="56"/>
      <c r="E39" s="56"/>
      <c r="F39" s="55">
        <f>T37^3</f>
        <v>2744000000000</v>
      </c>
      <c r="G39" s="81"/>
      <c r="H39" s="84"/>
      <c r="I39" s="55"/>
      <c r="J39" s="3"/>
      <c r="K39" s="3">
        <v>1</v>
      </c>
      <c r="L39" s="4"/>
      <c r="M39" s="100">
        <f t="shared" si="15"/>
        <v>0</v>
      </c>
      <c r="N39" s="100">
        <f t="shared" si="11"/>
        <v>0</v>
      </c>
      <c r="O39" s="100">
        <f t="shared" si="12"/>
        <v>0</v>
      </c>
      <c r="P39" s="100">
        <f t="shared" si="13"/>
        <v>4573333333.333333</v>
      </c>
      <c r="Q39" s="100">
        <f t="shared" si="14"/>
        <v>0</v>
      </c>
      <c r="S39" t="s">
        <v>12</v>
      </c>
      <c r="T39">
        <f>'Top Level Case Parameters'!D7</f>
        <v>3</v>
      </c>
    </row>
    <row r="40" spans="1:20" x14ac:dyDescent="0.55000000000000004">
      <c r="A40" s="3" t="s">
        <v>34</v>
      </c>
      <c r="B40" s="3">
        <f>'Top Level Case Parameters'!D21</f>
        <v>10</v>
      </c>
      <c r="C40" s="83"/>
      <c r="D40" s="56">
        <f>2*T37*T38*T36</f>
        <v>7280000000</v>
      </c>
      <c r="E40" s="56"/>
      <c r="F40" s="55"/>
      <c r="G40" s="81"/>
      <c r="H40" s="84"/>
      <c r="I40" s="55">
        <v>1</v>
      </c>
      <c r="J40" s="3"/>
      <c r="K40" s="3"/>
      <c r="L40" s="4"/>
      <c r="M40" s="100">
        <f t="shared" si="15"/>
        <v>0</v>
      </c>
      <c r="N40" s="100">
        <f t="shared" si="11"/>
        <v>728000000</v>
      </c>
      <c r="O40" s="100">
        <f t="shared" si="12"/>
        <v>0</v>
      </c>
      <c r="P40" s="100">
        <f t="shared" si="13"/>
        <v>0</v>
      </c>
      <c r="Q40" s="100">
        <f t="shared" si="14"/>
        <v>0</v>
      </c>
      <c r="S40" t="s">
        <v>14</v>
      </c>
      <c r="T40">
        <f>'Top Level Case Parameters'!D8</f>
        <v>2048</v>
      </c>
    </row>
    <row r="41" spans="1:20" x14ac:dyDescent="0.55000000000000004">
      <c r="A41" s="3" t="s">
        <v>35</v>
      </c>
      <c r="B41" s="3">
        <f>'Top Level Case Parameters'!D22</f>
        <v>10</v>
      </c>
      <c r="C41" s="83"/>
      <c r="E41" s="56">
        <f>4*T39</f>
        <v>12</v>
      </c>
      <c r="F41" s="55"/>
      <c r="G41" s="81"/>
      <c r="H41" s="84"/>
      <c r="I41" s="55"/>
      <c r="J41" s="3">
        <f>T38*T36</f>
        <v>260000</v>
      </c>
      <c r="K41" s="3"/>
      <c r="L41" s="4"/>
      <c r="M41" s="100">
        <f t="shared" si="15"/>
        <v>0</v>
      </c>
      <c r="N41" s="100">
        <f t="shared" si="11"/>
        <v>0</v>
      </c>
      <c r="O41" s="100">
        <f t="shared" si="12"/>
        <v>312000</v>
      </c>
      <c r="P41" s="100">
        <f t="shared" si="13"/>
        <v>0</v>
      </c>
      <c r="Q41" s="100">
        <f t="shared" si="14"/>
        <v>0</v>
      </c>
      <c r="S41" t="s">
        <v>16</v>
      </c>
      <c r="T41">
        <f>'Top Level Case Parameters'!D9</f>
        <v>10</v>
      </c>
    </row>
    <row r="42" spans="1:20" x14ac:dyDescent="0.55000000000000004">
      <c r="A42" s="3" t="s">
        <v>36</v>
      </c>
      <c r="B42" s="3">
        <f>'Top Level Case Parameters'!D23</f>
        <v>10</v>
      </c>
      <c r="C42" s="83"/>
      <c r="D42" s="56"/>
      <c r="E42" s="56">
        <f>T38*T36*T37^2</f>
        <v>50960000000000</v>
      </c>
      <c r="F42" s="55"/>
      <c r="G42" s="81"/>
      <c r="H42" s="84"/>
      <c r="I42" s="55"/>
      <c r="J42" s="3">
        <v>1</v>
      </c>
      <c r="K42" s="3"/>
      <c r="L42" s="4"/>
      <c r="M42" s="100">
        <f t="shared" si="15"/>
        <v>0</v>
      </c>
      <c r="N42" s="100">
        <f t="shared" si="11"/>
        <v>0</v>
      </c>
      <c r="O42" s="100">
        <f t="shared" si="12"/>
        <v>5096000000000</v>
      </c>
      <c r="P42" s="100">
        <f t="shared" si="13"/>
        <v>0</v>
      </c>
      <c r="Q42" s="100">
        <f t="shared" si="14"/>
        <v>0</v>
      </c>
      <c r="S42" t="s">
        <v>18</v>
      </c>
      <c r="T42">
        <f>'Top Level Case Parameters'!D10</f>
        <v>10</v>
      </c>
    </row>
    <row r="43" spans="1:20" x14ac:dyDescent="0.55000000000000004">
      <c r="A43" s="3" t="s">
        <v>37</v>
      </c>
      <c r="B43" s="3">
        <f>'Top Level Case Parameters'!D24</f>
        <v>10</v>
      </c>
      <c r="C43" s="83">
        <f>0.5*T40^3</f>
        <v>4294967296</v>
      </c>
      <c r="D43" s="56"/>
      <c r="E43" s="56"/>
      <c r="F43" s="55"/>
      <c r="G43" s="81">
        <f>(2*T40)^2*LOG(2*T40,2)</f>
        <v>201326592</v>
      </c>
      <c r="H43" s="84">
        <f>6*T41</f>
        <v>60</v>
      </c>
      <c r="I43" s="55"/>
      <c r="J43" s="3"/>
      <c r="K43" s="3"/>
      <c r="L43" s="4">
        <f>4*T41</f>
        <v>40</v>
      </c>
      <c r="M43" s="100">
        <f t="shared" si="15"/>
        <v>25769803776</v>
      </c>
      <c r="N43" s="100">
        <f t="shared" si="11"/>
        <v>0</v>
      </c>
      <c r="O43" s="100">
        <f t="shared" si="12"/>
        <v>0</v>
      </c>
      <c r="P43" s="100">
        <f t="shared" si="13"/>
        <v>0</v>
      </c>
      <c r="Q43" s="100">
        <f t="shared" si="14"/>
        <v>805306368</v>
      </c>
      <c r="S43" t="s">
        <v>20</v>
      </c>
      <c r="T43">
        <f>'Top Level Case Parameters'!D11</f>
        <v>5100</v>
      </c>
    </row>
    <row r="44" spans="1:20" x14ac:dyDescent="0.55000000000000004">
      <c r="A44" s="3" t="s">
        <v>38</v>
      </c>
      <c r="B44" s="3">
        <f>'Top Level Case Parameters'!D25</f>
        <v>10</v>
      </c>
      <c r="C44" s="83"/>
      <c r="D44" s="56"/>
      <c r="E44" s="56">
        <f>2*T36*T37^2</f>
        <v>10192000000000</v>
      </c>
      <c r="F44" s="55"/>
      <c r="G44" s="81"/>
      <c r="H44" s="84"/>
      <c r="I44" s="55"/>
      <c r="J44" s="3">
        <v>1</v>
      </c>
      <c r="K44" s="3"/>
      <c r="L44" s="4"/>
      <c r="M44" s="100">
        <f t="shared" si="15"/>
        <v>0</v>
      </c>
      <c r="N44" s="100">
        <f t="shared" si="11"/>
        <v>0</v>
      </c>
      <c r="O44" s="100">
        <f t="shared" si="12"/>
        <v>1019200000000</v>
      </c>
      <c r="P44" s="100">
        <f t="shared" si="13"/>
        <v>0</v>
      </c>
      <c r="Q44" s="100">
        <f t="shared" si="14"/>
        <v>0</v>
      </c>
      <c r="S44" t="s">
        <v>22</v>
      </c>
      <c r="T44">
        <f>'Top Level Case Parameters'!D12</f>
        <v>26000</v>
      </c>
    </row>
    <row r="45" spans="1:20" x14ac:dyDescent="0.55000000000000004">
      <c r="A45" s="3" t="s">
        <v>39</v>
      </c>
      <c r="B45" s="3">
        <f>'Top Level Case Parameters'!D26</f>
        <v>10</v>
      </c>
      <c r="C45" s="83"/>
      <c r="D45" s="56">
        <f>2*T38*T36*T37</f>
        <v>7280000000</v>
      </c>
      <c r="E45" s="56"/>
      <c r="F45" s="55"/>
      <c r="G45" s="81"/>
      <c r="H45" s="84"/>
      <c r="I45" s="55">
        <v>1</v>
      </c>
      <c r="J45" s="3"/>
      <c r="K45" s="3"/>
      <c r="L45" s="4"/>
      <c r="M45" s="100">
        <f t="shared" si="15"/>
        <v>0</v>
      </c>
      <c r="N45" s="100">
        <f t="shared" si="11"/>
        <v>728000000</v>
      </c>
      <c r="O45" s="100">
        <f t="shared" si="12"/>
        <v>0</v>
      </c>
      <c r="P45" s="100">
        <f t="shared" si="13"/>
        <v>0</v>
      </c>
      <c r="Q45" s="100">
        <f t="shared" si="14"/>
        <v>0</v>
      </c>
    </row>
    <row r="46" spans="1:20" x14ac:dyDescent="0.55000000000000004">
      <c r="A46" s="3" t="s">
        <v>40</v>
      </c>
      <c r="B46" s="3">
        <f>'Top Level Case Parameters'!D27</f>
        <v>10</v>
      </c>
      <c r="C46" s="83"/>
      <c r="D46" s="56"/>
      <c r="E46" s="56"/>
      <c r="F46" s="55"/>
      <c r="G46" s="81">
        <f>2*T44*LOG(SQRT(T44),2)</f>
        <v>381321.82407288265</v>
      </c>
      <c r="H46" s="84"/>
      <c r="I46" s="55"/>
      <c r="J46" s="3"/>
      <c r="K46" s="3"/>
      <c r="L46" s="4">
        <f>3*T38</f>
        <v>30</v>
      </c>
      <c r="M46" s="100">
        <f t="shared" si="15"/>
        <v>0</v>
      </c>
      <c r="N46" s="100">
        <f t="shared" si="11"/>
        <v>0</v>
      </c>
      <c r="O46" s="100">
        <f t="shared" si="12"/>
        <v>0</v>
      </c>
      <c r="P46" s="100">
        <f t="shared" si="13"/>
        <v>0</v>
      </c>
      <c r="Q46" s="100">
        <f t="shared" si="14"/>
        <v>1143965.4722186481</v>
      </c>
    </row>
    <row r="47" spans="1:20" x14ac:dyDescent="0.55000000000000004">
      <c r="A47" t="s">
        <v>41</v>
      </c>
      <c r="B47" s="3">
        <f>'Top Level Case Parameters'!D28</f>
        <v>1200</v>
      </c>
      <c r="C47" s="83">
        <f>2*T37*T39</f>
        <v>84000</v>
      </c>
      <c r="D47" s="56"/>
      <c r="E47" s="56"/>
      <c r="F47" s="55"/>
      <c r="G47" s="81"/>
      <c r="H47" s="84">
        <f>8*T38*T37*T36</f>
        <v>29120000000</v>
      </c>
      <c r="I47" s="55"/>
      <c r="J47" s="3"/>
      <c r="K47" s="3"/>
      <c r="L47" s="4"/>
      <c r="M47" s="100">
        <f t="shared" si="15"/>
        <v>2038400000000</v>
      </c>
      <c r="N47" s="100">
        <f t="shared" si="11"/>
        <v>0</v>
      </c>
      <c r="O47" s="100">
        <f t="shared" si="12"/>
        <v>0</v>
      </c>
      <c r="P47" s="100">
        <f t="shared" si="13"/>
        <v>0</v>
      </c>
      <c r="Q47" s="100">
        <f t="shared" si="14"/>
        <v>0</v>
      </c>
    </row>
    <row r="48" spans="1:20" x14ac:dyDescent="0.55000000000000004">
      <c r="A48" s="8"/>
      <c r="B48" s="3"/>
      <c r="C48" s="3"/>
      <c r="D48" s="56"/>
      <c r="E48" s="56"/>
      <c r="F48" s="56"/>
      <c r="G48" s="56"/>
      <c r="H48" s="99"/>
      <c r="I48" s="99"/>
      <c r="J48" s="99"/>
    </row>
    <row r="49" spans="1:20" x14ac:dyDescent="0.55000000000000004">
      <c r="C49" s="100"/>
      <c r="D49" s="100"/>
      <c r="E49" s="100"/>
      <c r="F49" s="100"/>
      <c r="G49" s="100"/>
    </row>
    <row r="50" spans="1:20" x14ac:dyDescent="0.55000000000000004">
      <c r="C50" s="100"/>
      <c r="D50" s="100"/>
      <c r="E50" s="100"/>
      <c r="F50" s="100"/>
      <c r="G50" s="100"/>
    </row>
    <row r="51" spans="1:20" x14ac:dyDescent="0.55000000000000004">
      <c r="A51" s="137" t="s">
        <v>139</v>
      </c>
      <c r="B51" s="137"/>
      <c r="C51" s="137"/>
      <c r="D51" s="137"/>
      <c r="E51" s="137"/>
      <c r="F51" s="137"/>
      <c r="G51" s="137"/>
      <c r="H51" s="137"/>
      <c r="I51" s="137"/>
      <c r="J51" s="137"/>
      <c r="K51" s="137"/>
      <c r="L51" s="137"/>
      <c r="M51" s="137"/>
      <c r="N51" s="137"/>
      <c r="O51" s="137"/>
      <c r="P51" s="137"/>
      <c r="Q51" s="137"/>
      <c r="S51" s="146" t="s">
        <v>158</v>
      </c>
      <c r="T51" s="146"/>
    </row>
    <row r="52" spans="1:20" x14ac:dyDescent="0.55000000000000004">
      <c r="A52" s="98"/>
      <c r="B52" s="98"/>
      <c r="C52" s="130" t="s">
        <v>156</v>
      </c>
      <c r="D52" s="130"/>
      <c r="E52" s="130"/>
      <c r="F52" s="130"/>
      <c r="G52" s="130"/>
      <c r="H52" s="145" t="s">
        <v>157</v>
      </c>
      <c r="I52" s="145"/>
      <c r="J52" s="145"/>
      <c r="K52" s="145"/>
      <c r="L52" s="145"/>
      <c r="M52" s="130" t="s">
        <v>179</v>
      </c>
      <c r="N52" s="130"/>
      <c r="O52" s="130"/>
      <c r="P52" s="130"/>
      <c r="Q52" s="130"/>
      <c r="S52" t="s">
        <v>1</v>
      </c>
      <c r="T52" s="13" t="s">
        <v>131</v>
      </c>
    </row>
    <row r="53" spans="1:20" x14ac:dyDescent="0.55000000000000004">
      <c r="A53" s="49" t="s">
        <v>106</v>
      </c>
      <c r="B53" s="18" t="s">
        <v>119</v>
      </c>
      <c r="C53" s="82" t="s">
        <v>45</v>
      </c>
      <c r="D53" s="79" t="s">
        <v>52</v>
      </c>
      <c r="E53" s="79" t="s">
        <v>53</v>
      </c>
      <c r="F53" s="79" t="s">
        <v>54</v>
      </c>
      <c r="G53" s="80" t="s">
        <v>55</v>
      </c>
      <c r="H53" s="82" t="s">
        <v>45</v>
      </c>
      <c r="I53" s="79" t="s">
        <v>52</v>
      </c>
      <c r="J53" s="79" t="s">
        <v>53</v>
      </c>
      <c r="K53" s="79" t="s">
        <v>54</v>
      </c>
      <c r="L53" s="80" t="s">
        <v>55</v>
      </c>
      <c r="M53" s="82" t="s">
        <v>45</v>
      </c>
      <c r="N53" s="79" t="s">
        <v>52</v>
      </c>
      <c r="O53" s="79" t="s">
        <v>53</v>
      </c>
      <c r="P53" s="79" t="s">
        <v>54</v>
      </c>
      <c r="Q53" s="80" t="s">
        <v>55</v>
      </c>
      <c r="S53" t="s">
        <v>6</v>
      </c>
      <c r="T53">
        <f>'Top Level Case Parameters'!H4</f>
        <v>51000</v>
      </c>
    </row>
    <row r="54" spans="1:20" x14ac:dyDescent="0.55000000000000004">
      <c r="A54" s="5" t="s">
        <v>31</v>
      </c>
      <c r="B54" s="3">
        <f>'Top Level Case Parameters'!H18</f>
        <v>1200</v>
      </c>
      <c r="C54" s="83">
        <f>0.5*T57^3</f>
        <v>34359738368</v>
      </c>
      <c r="D54" s="56"/>
      <c r="E54" s="56"/>
      <c r="F54" s="55"/>
      <c r="G54" s="81">
        <f>(2*T57)^2*LOG(2*T57,2)</f>
        <v>872415232</v>
      </c>
      <c r="H54" s="84">
        <f>6*T55*T54</f>
        <v>3120000</v>
      </c>
      <c r="I54" s="55"/>
      <c r="J54" s="3"/>
      <c r="K54" s="3"/>
      <c r="L54" s="4">
        <f>4*T55*T54</f>
        <v>2080000</v>
      </c>
      <c r="M54" s="100">
        <f>C54*H54/$B54</f>
        <v>89335319756800</v>
      </c>
      <c r="N54" s="100">
        <f t="shared" ref="N54:N64" si="16">D54*I54/$B54</f>
        <v>0</v>
      </c>
      <c r="O54" s="100">
        <f t="shared" ref="O54:O64" si="17">E54*J54/$B54</f>
        <v>0</v>
      </c>
      <c r="P54" s="100">
        <f t="shared" ref="P54:P64" si="18">F54*K54/$B54</f>
        <v>0</v>
      </c>
      <c r="Q54" s="100">
        <f t="shared" ref="Q54:Q64" si="19">G54*L54/$B54</f>
        <v>1512186402133.3333</v>
      </c>
      <c r="S54" t="s">
        <v>8</v>
      </c>
      <c r="T54">
        <f>'Top Level Case Parameters'!H5</f>
        <v>26000</v>
      </c>
    </row>
    <row r="55" spans="1:20" x14ac:dyDescent="0.55000000000000004">
      <c r="A55" s="3" t="s">
        <v>32</v>
      </c>
      <c r="B55" s="3">
        <f>'Top Level Case Parameters'!H19</f>
        <v>1200</v>
      </c>
      <c r="C55" s="83"/>
      <c r="D55" s="56"/>
      <c r="E55" s="56">
        <f>2*T55*T53*T54^2</f>
        <v>1379040000000000</v>
      </c>
      <c r="F55" s="55"/>
      <c r="G55" s="81"/>
      <c r="H55" s="84"/>
      <c r="I55" s="55"/>
      <c r="J55" s="3">
        <v>1</v>
      </c>
      <c r="K55" s="3"/>
      <c r="L55" s="4"/>
      <c r="M55" s="100">
        <f t="shared" ref="M55:M64" si="20">C55*H55/$B55</f>
        <v>0</v>
      </c>
      <c r="N55" s="100">
        <f t="shared" si="16"/>
        <v>0</v>
      </c>
      <c r="O55" s="100">
        <f t="shared" si="17"/>
        <v>1149200000000</v>
      </c>
      <c r="P55" s="100">
        <f t="shared" si="18"/>
        <v>0</v>
      </c>
      <c r="Q55" s="100">
        <f t="shared" si="19"/>
        <v>0</v>
      </c>
      <c r="S55" t="s">
        <v>10</v>
      </c>
      <c r="T55">
        <f>'Top Level Case Parameters'!H6</f>
        <v>20</v>
      </c>
    </row>
    <row r="56" spans="1:20" x14ac:dyDescent="0.55000000000000004">
      <c r="A56" s="3" t="s">
        <v>33</v>
      </c>
      <c r="B56" s="3">
        <f>'Top Level Case Parameters'!H20</f>
        <v>600</v>
      </c>
      <c r="C56" s="83"/>
      <c r="D56" s="56"/>
      <c r="E56" s="56"/>
      <c r="F56" s="55">
        <f>T54^3</f>
        <v>17576000000000</v>
      </c>
      <c r="G56" s="81"/>
      <c r="H56" s="84"/>
      <c r="I56" s="55"/>
      <c r="J56" s="3"/>
      <c r="K56" s="3">
        <v>1</v>
      </c>
      <c r="L56" s="4"/>
      <c r="M56" s="100">
        <f t="shared" si="20"/>
        <v>0</v>
      </c>
      <c r="N56" s="100">
        <f t="shared" si="16"/>
        <v>0</v>
      </c>
      <c r="O56" s="100">
        <f t="shared" si="17"/>
        <v>0</v>
      </c>
      <c r="P56" s="100">
        <f t="shared" si="18"/>
        <v>29293333333.333332</v>
      </c>
      <c r="Q56" s="100">
        <f t="shared" si="19"/>
        <v>0</v>
      </c>
      <c r="S56" t="s">
        <v>12</v>
      </c>
      <c r="T56">
        <f>'Top Level Case Parameters'!H7</f>
        <v>3</v>
      </c>
    </row>
    <row r="57" spans="1:20" x14ac:dyDescent="0.55000000000000004">
      <c r="A57" s="3" t="s">
        <v>34</v>
      </c>
      <c r="B57" s="3">
        <f>'Top Level Case Parameters'!H21</f>
        <v>1</v>
      </c>
      <c r="C57" s="83"/>
      <c r="D57" s="56">
        <f>2*T54*T55*T53</f>
        <v>53040000000</v>
      </c>
      <c r="E57" s="56"/>
      <c r="F57" s="55"/>
      <c r="G57" s="81"/>
      <c r="H57" s="84"/>
      <c r="I57" s="55">
        <v>1</v>
      </c>
      <c r="J57" s="3"/>
      <c r="K57" s="3"/>
      <c r="L57" s="4"/>
      <c r="M57" s="100">
        <f t="shared" si="20"/>
        <v>0</v>
      </c>
      <c r="N57" s="100">
        <f t="shared" si="16"/>
        <v>53040000000</v>
      </c>
      <c r="O57" s="100">
        <f t="shared" si="17"/>
        <v>0</v>
      </c>
      <c r="P57" s="100">
        <f t="shared" si="18"/>
        <v>0</v>
      </c>
      <c r="Q57" s="100">
        <f t="shared" si="19"/>
        <v>0</v>
      </c>
      <c r="S57" t="s">
        <v>14</v>
      </c>
      <c r="T57">
        <f>'Top Level Case Parameters'!H8</f>
        <v>4096</v>
      </c>
    </row>
    <row r="58" spans="1:20" x14ac:dyDescent="0.55000000000000004">
      <c r="A58" s="3" t="s">
        <v>35</v>
      </c>
      <c r="B58" s="3">
        <f>'Top Level Case Parameters'!H22</f>
        <v>1</v>
      </c>
      <c r="C58" s="83"/>
      <c r="E58" s="56">
        <f>4*T56</f>
        <v>12</v>
      </c>
      <c r="F58" s="55"/>
      <c r="G58" s="81"/>
      <c r="H58" s="84"/>
      <c r="I58" s="55"/>
      <c r="J58" s="3">
        <f>T55*T53</f>
        <v>1020000</v>
      </c>
      <c r="K58" s="3"/>
      <c r="L58" s="4"/>
      <c r="M58" s="100">
        <f t="shared" si="20"/>
        <v>0</v>
      </c>
      <c r="N58" s="100">
        <f t="shared" si="16"/>
        <v>0</v>
      </c>
      <c r="O58" s="100">
        <f t="shared" si="17"/>
        <v>12240000</v>
      </c>
      <c r="P58" s="100">
        <f t="shared" si="18"/>
        <v>0</v>
      </c>
      <c r="Q58" s="100">
        <f t="shared" si="19"/>
        <v>0</v>
      </c>
      <c r="S58" t="s">
        <v>16</v>
      </c>
      <c r="T58">
        <f>'Top Level Case Parameters'!H9</f>
        <v>10</v>
      </c>
    </row>
    <row r="59" spans="1:20" x14ac:dyDescent="0.55000000000000004">
      <c r="A59" s="3" t="s">
        <v>36</v>
      </c>
      <c r="B59" s="3">
        <f>'Top Level Case Parameters'!H23</f>
        <v>1</v>
      </c>
      <c r="C59" s="83"/>
      <c r="D59" s="56"/>
      <c r="E59" s="56">
        <f>T55*T53*T54^2</f>
        <v>689520000000000</v>
      </c>
      <c r="F59" s="55"/>
      <c r="G59" s="81"/>
      <c r="H59" s="84"/>
      <c r="I59" s="55"/>
      <c r="J59" s="3">
        <v>1</v>
      </c>
      <c r="K59" s="3"/>
      <c r="L59" s="4"/>
      <c r="M59" s="100">
        <f t="shared" si="20"/>
        <v>0</v>
      </c>
      <c r="N59" s="100">
        <f t="shared" si="16"/>
        <v>0</v>
      </c>
      <c r="O59" s="100">
        <f t="shared" si="17"/>
        <v>689520000000000</v>
      </c>
      <c r="P59" s="100">
        <f t="shared" si="18"/>
        <v>0</v>
      </c>
      <c r="Q59" s="100">
        <f t="shared" si="19"/>
        <v>0</v>
      </c>
      <c r="S59" t="s">
        <v>18</v>
      </c>
      <c r="T59">
        <f>'Top Level Case Parameters'!H10</f>
        <v>10</v>
      </c>
    </row>
    <row r="60" spans="1:20" x14ac:dyDescent="0.55000000000000004">
      <c r="A60" s="3" t="s">
        <v>37</v>
      </c>
      <c r="B60" s="3">
        <f>'Top Level Case Parameters'!H24</f>
        <v>1</v>
      </c>
      <c r="C60" s="83">
        <f>0.5*T57^3</f>
        <v>34359738368</v>
      </c>
      <c r="D60" s="56"/>
      <c r="E60" s="56"/>
      <c r="F60" s="55"/>
      <c r="G60" s="81">
        <f>(2*T57)^2*LOG(2*T57,2)</f>
        <v>872415232</v>
      </c>
      <c r="H60" s="84">
        <f>6*T58</f>
        <v>60</v>
      </c>
      <c r="I60" s="55"/>
      <c r="J60" s="3"/>
      <c r="K60" s="3"/>
      <c r="L60" s="4">
        <f>4*T58</f>
        <v>40</v>
      </c>
      <c r="M60" s="100">
        <f t="shared" si="20"/>
        <v>2061584302080</v>
      </c>
      <c r="N60" s="100">
        <f t="shared" si="16"/>
        <v>0</v>
      </c>
      <c r="O60" s="100">
        <f t="shared" si="17"/>
        <v>0</v>
      </c>
      <c r="P60" s="100">
        <f t="shared" si="18"/>
        <v>0</v>
      </c>
      <c r="Q60" s="100">
        <f t="shared" si="19"/>
        <v>34896609280</v>
      </c>
      <c r="S60" t="s">
        <v>20</v>
      </c>
      <c r="T60">
        <f>'Top Level Case Parameters'!H11</f>
        <v>10000</v>
      </c>
    </row>
    <row r="61" spans="1:20" x14ac:dyDescent="0.55000000000000004">
      <c r="A61" s="3" t="s">
        <v>38</v>
      </c>
      <c r="B61" s="3">
        <f>'Top Level Case Parameters'!H25</f>
        <v>1</v>
      </c>
      <c r="C61" s="83"/>
      <c r="D61" s="56"/>
      <c r="E61" s="56">
        <f>2*T53*T54^2</f>
        <v>68952000000000</v>
      </c>
      <c r="F61" s="55"/>
      <c r="G61" s="81"/>
      <c r="H61" s="84"/>
      <c r="I61" s="55"/>
      <c r="J61" s="3">
        <v>1</v>
      </c>
      <c r="K61" s="3"/>
      <c r="L61" s="4"/>
      <c r="M61" s="100">
        <f t="shared" si="20"/>
        <v>0</v>
      </c>
      <c r="N61" s="100">
        <f t="shared" si="16"/>
        <v>0</v>
      </c>
      <c r="O61" s="100">
        <f t="shared" si="17"/>
        <v>68952000000000</v>
      </c>
      <c r="P61" s="100">
        <f t="shared" si="18"/>
        <v>0</v>
      </c>
      <c r="Q61" s="100">
        <f t="shared" si="19"/>
        <v>0</v>
      </c>
      <c r="S61" t="s">
        <v>22</v>
      </c>
      <c r="T61">
        <f>'Top Level Case Parameters'!H12</f>
        <v>51000</v>
      </c>
    </row>
    <row r="62" spans="1:20" x14ac:dyDescent="0.55000000000000004">
      <c r="A62" s="3" t="s">
        <v>39</v>
      </c>
      <c r="B62" s="3">
        <f>'Top Level Case Parameters'!H26</f>
        <v>1</v>
      </c>
      <c r="C62" s="83"/>
      <c r="D62" s="56">
        <f>2*T55*T53*T54</f>
        <v>53040000000</v>
      </c>
      <c r="E62" s="56"/>
      <c r="F62" s="55"/>
      <c r="G62" s="81"/>
      <c r="H62" s="84"/>
      <c r="I62" s="55">
        <v>1</v>
      </c>
      <c r="J62" s="3"/>
      <c r="K62" s="3"/>
      <c r="L62" s="4"/>
      <c r="M62" s="100">
        <f t="shared" si="20"/>
        <v>0</v>
      </c>
      <c r="N62" s="100">
        <f t="shared" si="16"/>
        <v>53040000000</v>
      </c>
      <c r="O62" s="100">
        <f t="shared" si="17"/>
        <v>0</v>
      </c>
      <c r="P62" s="100">
        <f t="shared" si="18"/>
        <v>0</v>
      </c>
      <c r="Q62" s="100">
        <f t="shared" si="19"/>
        <v>0</v>
      </c>
    </row>
    <row r="63" spans="1:20" x14ac:dyDescent="0.55000000000000004">
      <c r="A63" s="3" t="s">
        <v>40</v>
      </c>
      <c r="B63" s="3">
        <f>'Top Level Case Parameters'!H27</f>
        <v>1</v>
      </c>
      <c r="C63" s="83"/>
      <c r="D63" s="56"/>
      <c r="E63" s="56"/>
      <c r="F63" s="55"/>
      <c r="G63" s="81">
        <f>2*T61*LOG(SQRT(T61),2)</f>
        <v>797548.69095831283</v>
      </c>
      <c r="H63" s="84"/>
      <c r="I63" s="55"/>
      <c r="J63" s="3"/>
      <c r="K63" s="3"/>
      <c r="L63" s="4">
        <f>3*T55</f>
        <v>60</v>
      </c>
      <c r="M63" s="100">
        <f t="shared" si="20"/>
        <v>0</v>
      </c>
      <c r="N63" s="100">
        <f t="shared" si="16"/>
        <v>0</v>
      </c>
      <c r="O63" s="100">
        <f t="shared" si="17"/>
        <v>0</v>
      </c>
      <c r="P63" s="100">
        <f t="shared" si="18"/>
        <v>0</v>
      </c>
      <c r="Q63" s="100">
        <f t="shared" si="19"/>
        <v>47852921.457498766</v>
      </c>
    </row>
    <row r="64" spans="1:20" x14ac:dyDescent="0.55000000000000004">
      <c r="A64" t="s">
        <v>41</v>
      </c>
      <c r="B64" s="3">
        <f>'Top Level Case Parameters'!H28</f>
        <v>1200</v>
      </c>
      <c r="C64" s="83">
        <f>2*T54*T56</f>
        <v>156000</v>
      </c>
      <c r="D64" s="56"/>
      <c r="E64" s="56"/>
      <c r="F64" s="55"/>
      <c r="G64" s="81"/>
      <c r="H64" s="84">
        <f>8*T55*T54*T53</f>
        <v>212160000000</v>
      </c>
      <c r="I64" s="55"/>
      <c r="J64" s="3"/>
      <c r="K64" s="3"/>
      <c r="L64" s="4"/>
      <c r="M64" s="100">
        <f t="shared" si="20"/>
        <v>27580800000000</v>
      </c>
      <c r="N64" s="100">
        <f t="shared" si="16"/>
        <v>0</v>
      </c>
      <c r="O64" s="100">
        <f t="shared" si="17"/>
        <v>0</v>
      </c>
      <c r="P64" s="100">
        <f t="shared" si="18"/>
        <v>0</v>
      </c>
      <c r="Q64" s="100">
        <f t="shared" si="19"/>
        <v>0</v>
      </c>
    </row>
    <row r="65" spans="1:10" x14ac:dyDescent="0.55000000000000004">
      <c r="A65" s="8"/>
      <c r="B65" s="3"/>
      <c r="C65" s="3"/>
      <c r="D65" s="56"/>
      <c r="E65" s="56"/>
      <c r="F65" s="56"/>
      <c r="G65" s="56"/>
      <c r="H65" s="99"/>
      <c r="I65" s="99"/>
      <c r="J65" s="99"/>
    </row>
  </sheetData>
  <mergeCells count="20">
    <mergeCell ref="A51:Q51"/>
    <mergeCell ref="S51:T51"/>
    <mergeCell ref="C52:G52"/>
    <mergeCell ref="H52:L52"/>
    <mergeCell ref="M52:Q52"/>
    <mergeCell ref="M2:Q2"/>
    <mergeCell ref="S1:T1"/>
    <mergeCell ref="A1:L1"/>
    <mergeCell ref="C2:G2"/>
    <mergeCell ref="H2:L2"/>
    <mergeCell ref="A34:Q34"/>
    <mergeCell ref="S34:T34"/>
    <mergeCell ref="C35:G35"/>
    <mergeCell ref="S17:T17"/>
    <mergeCell ref="C18:G18"/>
    <mergeCell ref="H18:L18"/>
    <mergeCell ref="M18:Q18"/>
    <mergeCell ref="A17:Q17"/>
    <mergeCell ref="H35:L35"/>
    <mergeCell ref="M35:Q3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0A648-8C0D-43C2-A828-24A9406C67D6}">
  <dimension ref="A1:AR74"/>
  <sheetViews>
    <sheetView zoomScale="130" zoomScaleNormal="130" workbookViewId="0">
      <pane xSplit="2" ySplit="3" topLeftCell="P57" activePane="bottomRight" state="frozen"/>
      <selection activeCell="G20" sqref="G20"/>
      <selection pane="topRight" activeCell="G20" sqref="G20"/>
      <selection pane="bottomLeft" activeCell="G20" sqref="G20"/>
      <selection pane="bottomRight" activeCell="W79" sqref="W79"/>
    </sheetView>
  </sheetViews>
  <sheetFormatPr defaultRowHeight="14.4" x14ac:dyDescent="0.55000000000000004"/>
  <cols>
    <col min="1" max="1" width="8.83984375" customWidth="1"/>
    <col min="3" max="3" width="8.89453125" bestFit="1" customWidth="1"/>
    <col min="4" max="4" width="9.7890625" bestFit="1" customWidth="1"/>
    <col min="5" max="5" width="10.7890625" bestFit="1" customWidth="1"/>
    <col min="6" max="6" width="11.7890625" bestFit="1" customWidth="1"/>
    <col min="7" max="7" width="11.578125" bestFit="1" customWidth="1"/>
    <col min="8" max="8" width="12.1015625" bestFit="1" customWidth="1"/>
    <col min="9" max="9" width="11.734375" bestFit="1" customWidth="1"/>
    <col min="10" max="10" width="8.9453125" style="2" bestFit="1" customWidth="1"/>
    <col min="11" max="16" width="8.9453125" bestFit="1" customWidth="1"/>
    <col min="26" max="27" width="8.9453125" bestFit="1" customWidth="1"/>
    <col min="28" max="28" width="12.1015625" bestFit="1" customWidth="1"/>
    <col min="29" max="29" width="8.89453125" bestFit="1" customWidth="1"/>
    <col min="33" max="33" width="8.89453125" bestFit="1" customWidth="1"/>
    <col min="34" max="38" width="11.734375" bestFit="1" customWidth="1"/>
    <col min="39" max="39" width="11.68359375" bestFit="1" customWidth="1"/>
    <col min="40" max="40" width="8.89453125" bestFit="1" customWidth="1"/>
  </cols>
  <sheetData>
    <row r="1" spans="1:44" x14ac:dyDescent="0.55000000000000004">
      <c r="A1" s="130" t="s">
        <v>56</v>
      </c>
      <c r="B1" s="130"/>
      <c r="C1" s="130"/>
      <c r="D1" s="130"/>
      <c r="E1" s="130"/>
      <c r="F1" s="130"/>
      <c r="G1" s="130"/>
      <c r="H1" s="130"/>
      <c r="I1" s="130"/>
      <c r="J1" s="139" t="s">
        <v>57</v>
      </c>
      <c r="K1" s="139"/>
      <c r="L1" s="139"/>
      <c r="M1" s="139"/>
      <c r="N1" s="139"/>
      <c r="O1" s="139"/>
      <c r="P1" s="139"/>
      <c r="AH1" s="128" t="s">
        <v>164</v>
      </c>
      <c r="AI1" s="128"/>
      <c r="AJ1" s="128"/>
    </row>
    <row r="2" spans="1:44" x14ac:dyDescent="0.55000000000000004">
      <c r="A2" s="137" t="s">
        <v>45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37"/>
      <c r="AH2" s="14" t="s">
        <v>168</v>
      </c>
      <c r="AI2" s="54">
        <v>3.25</v>
      </c>
      <c r="AJ2" s="54"/>
      <c r="AL2" s="54"/>
      <c r="AM2" s="54"/>
      <c r="AN2" s="54"/>
      <c r="AO2" s="54"/>
      <c r="AP2" s="54"/>
      <c r="AQ2" s="54"/>
      <c r="AR2" s="54"/>
    </row>
    <row r="3" spans="1:44" x14ac:dyDescent="0.55000000000000004">
      <c r="A3" s="15"/>
      <c r="B3" s="15"/>
      <c r="C3" s="16">
        <v>128</v>
      </c>
      <c r="D3" s="16">
        <v>256</v>
      </c>
      <c r="E3" s="16">
        <v>512</v>
      </c>
      <c r="F3" s="16">
        <v>1024</v>
      </c>
      <c r="G3" s="16">
        <v>2048</v>
      </c>
      <c r="H3" s="16">
        <v>4096</v>
      </c>
      <c r="I3" s="16">
        <v>8192</v>
      </c>
      <c r="J3" s="28">
        <f>LOG(C3)</f>
        <v>2.1072099696478683</v>
      </c>
      <c r="K3" s="17">
        <f t="shared" ref="K3:P4" si="0">LOG(D3)</f>
        <v>2.4082399653118496</v>
      </c>
      <c r="L3" s="17">
        <f t="shared" si="0"/>
        <v>2.7092699609758308</v>
      </c>
      <c r="M3" s="17">
        <f t="shared" si="0"/>
        <v>3.0102999566398121</v>
      </c>
      <c r="N3" s="17">
        <f t="shared" si="0"/>
        <v>3.3113299523037933</v>
      </c>
      <c r="O3" s="17">
        <f t="shared" si="0"/>
        <v>3.6123599479677742</v>
      </c>
      <c r="P3" s="17">
        <f t="shared" si="0"/>
        <v>3.9133899436317554</v>
      </c>
      <c r="Z3" t="s">
        <v>60</v>
      </c>
      <c r="AA3" t="s">
        <v>61</v>
      </c>
      <c r="AB3" t="s">
        <v>58</v>
      </c>
      <c r="AC3" t="s">
        <v>59</v>
      </c>
      <c r="AG3" s="131" t="s">
        <v>180</v>
      </c>
      <c r="AH3" s="131"/>
      <c r="AI3" s="131"/>
      <c r="AJ3" s="131"/>
      <c r="AK3" s="131"/>
      <c r="AL3" s="131"/>
      <c r="AM3" s="131"/>
      <c r="AN3" s="131"/>
      <c r="AO3" s="138"/>
      <c r="AR3" s="14"/>
    </row>
    <row r="4" spans="1:44" ht="25.5" x14ac:dyDescent="0.55000000000000004">
      <c r="A4" s="15"/>
      <c r="B4" s="15" t="s">
        <v>167</v>
      </c>
      <c r="C4" s="94">
        <f>C3^3</f>
        <v>2097152</v>
      </c>
      <c r="D4" s="94">
        <f t="shared" ref="D4:I4" si="1">D3^3</f>
        <v>16777216</v>
      </c>
      <c r="E4" s="94">
        <f t="shared" si="1"/>
        <v>134217728</v>
      </c>
      <c r="F4" s="94">
        <f t="shared" si="1"/>
        <v>1073741824</v>
      </c>
      <c r="G4" s="94">
        <f t="shared" si="1"/>
        <v>8589934592</v>
      </c>
      <c r="H4" s="94">
        <f t="shared" si="1"/>
        <v>68719476736</v>
      </c>
      <c r="I4" s="94">
        <f t="shared" si="1"/>
        <v>549755813888</v>
      </c>
      <c r="J4" s="82">
        <f>LOG(C4)</f>
        <v>6.3216299089436054</v>
      </c>
      <c r="K4" s="82">
        <f t="shared" si="0"/>
        <v>7.2247198959355483</v>
      </c>
      <c r="L4" s="82">
        <f t="shared" si="0"/>
        <v>8.1278098829274921</v>
      </c>
      <c r="M4" s="82">
        <f t="shared" si="0"/>
        <v>9.0308998699194358</v>
      </c>
      <c r="N4" s="82">
        <f t="shared" si="0"/>
        <v>9.9339898569113796</v>
      </c>
      <c r="O4" s="82">
        <f t="shared" si="0"/>
        <v>10.837079843903323</v>
      </c>
      <c r="P4" s="82">
        <f t="shared" si="0"/>
        <v>11.740169830895267</v>
      </c>
      <c r="AH4" s="14"/>
      <c r="AI4" s="14" t="s">
        <v>45</v>
      </c>
      <c r="AJ4" s="14" t="s">
        <v>52</v>
      </c>
      <c r="AK4" s="14" t="s">
        <v>53</v>
      </c>
      <c r="AL4" s="14" t="s">
        <v>54</v>
      </c>
      <c r="AM4" s="14" t="s">
        <v>166</v>
      </c>
      <c r="AR4" s="14"/>
    </row>
    <row r="5" spans="1:44" x14ac:dyDescent="0.55000000000000004">
      <c r="A5" s="136" t="s">
        <v>46</v>
      </c>
      <c r="B5" s="19" t="s">
        <v>47</v>
      </c>
      <c r="C5" s="20">
        <v>6.5620000000000001E-3</v>
      </c>
      <c r="D5" s="20">
        <v>8.4180000000000001E-3</v>
      </c>
      <c r="E5" s="20">
        <v>1.6563999999999999E-2</v>
      </c>
      <c r="F5" s="20">
        <v>0.125886</v>
      </c>
      <c r="G5" s="20">
        <v>1.002766</v>
      </c>
      <c r="H5" s="20">
        <v>8.0382359999999995</v>
      </c>
      <c r="I5" s="20">
        <v>76.189344000000006</v>
      </c>
      <c r="J5" s="29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33"/>
      <c r="AC5" s="33"/>
      <c r="AD5" s="21"/>
      <c r="AF5" s="75"/>
      <c r="AG5" s="135" t="s">
        <v>165</v>
      </c>
      <c r="AH5" s="78" t="s">
        <v>58</v>
      </c>
      <c r="AI5">
        <f>AB6</f>
        <v>3.2945221691606357E-11</v>
      </c>
      <c r="AJ5">
        <f>AB20</f>
        <v>5.4401236346063865E-10</v>
      </c>
      <c r="AK5" s="14">
        <f>AB34</f>
        <v>1.627322552170156E-10</v>
      </c>
      <c r="AL5">
        <f>AB48</f>
        <v>2.2524797014258458E-11</v>
      </c>
      <c r="AM5">
        <f>AB62</f>
        <v>2.0686755575316296E-10</v>
      </c>
      <c r="AR5" s="14"/>
    </row>
    <row r="6" spans="1:44" x14ac:dyDescent="0.55000000000000004">
      <c r="A6" s="136"/>
      <c r="B6" s="22" t="s">
        <v>48</v>
      </c>
      <c r="C6" s="23">
        <v>6.241E-3</v>
      </c>
      <c r="D6" s="23">
        <v>2.4160000000000002E-3</v>
      </c>
      <c r="E6" s="23">
        <v>1.7353E-2</v>
      </c>
      <c r="F6" s="23">
        <v>0.12998499999999999</v>
      </c>
      <c r="G6" s="23">
        <v>1.033695</v>
      </c>
      <c r="H6" s="23">
        <v>10.424711</v>
      </c>
      <c r="I6" s="23">
        <v>93.561052000000004</v>
      </c>
      <c r="J6" s="30">
        <f>LOG(C6)</f>
        <v>-2.2047458174191172</v>
      </c>
      <c r="K6" s="24">
        <f t="shared" ref="K6" si="2">LOG(D6)</f>
        <v>-2.6169030700509057</v>
      </c>
      <c r="L6" s="24">
        <f t="shared" ref="L6" si="3">LOG(E6)</f>
        <v>-1.7606254332179216</v>
      </c>
      <c r="M6" s="24">
        <f t="shared" ref="M6" si="4">LOG(F6)</f>
        <v>-0.8861067614861573</v>
      </c>
      <c r="N6" s="24">
        <f t="shared" ref="N6" si="5">LOG(G6)</f>
        <v>1.4392415588944539E-2</v>
      </c>
      <c r="O6" s="24">
        <f t="shared" ref="O6" si="6">LOG(H6)</f>
        <v>1.0180640240443561</v>
      </c>
      <c r="P6" s="24">
        <f t="shared" ref="P6" si="7">LOG(I6)</f>
        <v>1.9710950963695479</v>
      </c>
      <c r="Q6" s="24"/>
      <c r="R6" s="24"/>
      <c r="S6" s="24"/>
      <c r="T6" s="24"/>
      <c r="U6" s="24"/>
      <c r="V6" s="24"/>
      <c r="W6" s="24"/>
      <c r="X6" s="24"/>
      <c r="Y6" s="24"/>
      <c r="Z6" s="24">
        <f>SLOPE(M6:P6,M$4:P$4)</f>
        <v>1.060279409576484</v>
      </c>
      <c r="AA6" s="24">
        <f>INTERCEPT(M6:P6,M$4:P$4)</f>
        <v>-10.482207565696733</v>
      </c>
      <c r="AB6" s="32">
        <f>POWER(10,AA6)</f>
        <v>3.2945221691606357E-11</v>
      </c>
      <c r="AC6" s="32">
        <f>Z6</f>
        <v>1.060279409576484</v>
      </c>
      <c r="AD6" s="24"/>
      <c r="AF6" s="75"/>
      <c r="AG6" s="135"/>
      <c r="AH6" s="14" t="s">
        <v>59</v>
      </c>
      <c r="AI6">
        <f>AC6</f>
        <v>1.060279409576484</v>
      </c>
      <c r="AJ6">
        <f>AC20</f>
        <v>1.0033930528035164</v>
      </c>
      <c r="AK6">
        <f>AC34</f>
        <v>0.96863757385842242</v>
      </c>
      <c r="AL6">
        <f>AC48</f>
        <v>1.2267259793360423</v>
      </c>
      <c r="AM6">
        <f>AC62</f>
        <v>1.1748330818851718</v>
      </c>
      <c r="AR6" s="14"/>
    </row>
    <row r="7" spans="1:44" x14ac:dyDescent="0.55000000000000004">
      <c r="A7" s="136"/>
      <c r="B7" s="25" t="s">
        <v>49</v>
      </c>
      <c r="C7" s="26">
        <v>5.9509999999999997E-3</v>
      </c>
      <c r="D7" s="26">
        <v>2.6589999999999999E-3</v>
      </c>
      <c r="E7" s="26">
        <v>1.5624000000000001E-2</v>
      </c>
      <c r="F7" s="26">
        <v>0.12585499999999999</v>
      </c>
      <c r="G7" s="26">
        <v>0.99904199999999999</v>
      </c>
      <c r="H7" s="26">
        <v>8.0558340000000008</v>
      </c>
      <c r="I7" s="26">
        <v>76.696837000000002</v>
      </c>
      <c r="J7" s="31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34"/>
      <c r="AC7" s="34"/>
      <c r="AD7" s="27"/>
      <c r="AF7" s="75"/>
      <c r="AG7" s="135" t="s">
        <v>84</v>
      </c>
      <c r="AH7" s="78" t="s">
        <v>58</v>
      </c>
      <c r="AI7">
        <f>AB9*AI2</f>
        <v>6.9119959175927799E-12</v>
      </c>
      <c r="AJ7">
        <f>AB23*AI2</f>
        <v>4.6107184148260574E-8</v>
      </c>
      <c r="AK7" s="14">
        <f>AB37*AI2</f>
        <v>5.5559633965770579E-10</v>
      </c>
      <c r="AL7">
        <f>AB51*AI2</f>
        <v>9.5552766981267453E-8</v>
      </c>
      <c r="AM7">
        <f>AB65*AI2</f>
        <v>8.9041137510391101E-8</v>
      </c>
      <c r="AR7" s="14"/>
    </row>
    <row r="8" spans="1:44" x14ac:dyDescent="0.55000000000000004">
      <c r="A8" s="136" t="s">
        <v>50</v>
      </c>
      <c r="B8" s="19" t="s">
        <v>47</v>
      </c>
      <c r="C8" s="20">
        <v>8.2559999999999995E-3</v>
      </c>
      <c r="D8" s="20">
        <v>3.5679000000000002E-2</v>
      </c>
      <c r="E8" s="20">
        <v>0.33356999999999998</v>
      </c>
      <c r="F8" s="20">
        <v>3.0964559999999999</v>
      </c>
      <c r="G8" s="20">
        <v>23.832241</v>
      </c>
      <c r="H8" s="20">
        <v>229.04352499999999</v>
      </c>
      <c r="I8" s="20"/>
      <c r="J8" s="29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33"/>
      <c r="AC8" s="33"/>
      <c r="AD8" s="21"/>
      <c r="AF8" s="75"/>
      <c r="AG8" s="135"/>
      <c r="AH8" s="14" t="s">
        <v>59</v>
      </c>
      <c r="AI8">
        <f>AC9</f>
        <v>1.3400615384052394</v>
      </c>
      <c r="AJ8">
        <f>AC23</f>
        <v>0.99828273197391826</v>
      </c>
      <c r="AK8">
        <f>AC37</f>
        <v>1.1098039764857097</v>
      </c>
      <c r="AL8">
        <f>AC51</f>
        <v>1.0871031395157336</v>
      </c>
      <c r="AM8">
        <f>AC65</f>
        <v>1.0900569689003936</v>
      </c>
    </row>
    <row r="9" spans="1:44" x14ac:dyDescent="0.55000000000000004">
      <c r="A9" s="136"/>
      <c r="B9" s="22" t="s">
        <v>48</v>
      </c>
      <c r="C9" s="23">
        <v>1.1780000000000001E-2</v>
      </c>
      <c r="D9" s="23">
        <v>4.4186000000000003E-2</v>
      </c>
      <c r="E9" s="23">
        <v>0.389241</v>
      </c>
      <c r="F9" s="23">
        <v>3.208399</v>
      </c>
      <c r="G9" s="23">
        <v>30.666518</v>
      </c>
      <c r="H9" s="23">
        <v>844.65758600000004</v>
      </c>
      <c r="I9" s="23"/>
      <c r="J9" s="30">
        <f>LOG(C9)</f>
        <v>-1.9288547095489172</v>
      </c>
      <c r="K9" s="24">
        <f t="shared" ref="K9" si="8">LOG(D9)</f>
        <v>-1.3547153117790844</v>
      </c>
      <c r="L9" s="24">
        <f t="shared" ref="L9" si="9">LOG(E9)</f>
        <v>-0.40978142036684156</v>
      </c>
      <c r="M9" s="24">
        <f t="shared" ref="M9" si="10">LOG(F9)</f>
        <v>0.50628837230631862</v>
      </c>
      <c r="N9" s="24">
        <f t="shared" ref="N9" si="11">LOG(G9)</f>
        <v>1.4866644672366707</v>
      </c>
      <c r="O9" s="24">
        <f t="shared" ref="O9" si="12">LOG(H9)</f>
        <v>2.9266806868799025</v>
      </c>
      <c r="P9" s="24" t="e">
        <f t="shared" ref="P9" si="13">LOG(I9)</f>
        <v>#NUM!</v>
      </c>
      <c r="Q9" s="24"/>
      <c r="R9" s="24"/>
      <c r="S9" s="24"/>
      <c r="T9" s="24"/>
      <c r="U9" s="24"/>
      <c r="V9" s="24"/>
      <c r="W9" s="24"/>
      <c r="X9" s="24"/>
      <c r="Y9" s="24"/>
      <c r="Z9" s="24">
        <f>SLOPE(M9:O9,M$4:O$4)</f>
        <v>1.3400615384052394</v>
      </c>
      <c r="AA9" s="24">
        <f>INTERCEPT(M9:O9,M$4:O$4)</f>
        <v>-11.672279888013744</v>
      </c>
      <c r="AB9" s="32">
        <f>POWER(10,AA9)</f>
        <v>2.1267679746439321E-12</v>
      </c>
      <c r="AC9" s="32">
        <f>Z9</f>
        <v>1.3400615384052394</v>
      </c>
      <c r="AD9" s="24"/>
      <c r="AF9" s="135"/>
      <c r="AG9" s="135" t="s">
        <v>90</v>
      </c>
      <c r="AH9" s="78" t="s">
        <v>58</v>
      </c>
      <c r="AI9">
        <f>AB12</f>
        <v>1.6334382024755697E-9</v>
      </c>
      <c r="AJ9">
        <f>AB26</f>
        <v>1.732438156015168E-9</v>
      </c>
      <c r="AK9" s="14">
        <f>AB40</f>
        <v>2.1491756015649904E-10</v>
      </c>
      <c r="AL9">
        <f>AB54</f>
        <v>2.2439216334014784E-10</v>
      </c>
      <c r="AM9">
        <f>AB68</f>
        <v>4.0033806244082011E-8</v>
      </c>
    </row>
    <row r="10" spans="1:44" x14ac:dyDescent="0.55000000000000004">
      <c r="A10" s="136"/>
      <c r="B10" s="25" t="s">
        <v>49</v>
      </c>
      <c r="C10" s="26">
        <v>5.3959999999999998E-3</v>
      </c>
      <c r="D10" s="26">
        <v>3.3168999999999997E-2</v>
      </c>
      <c r="E10" s="26">
        <v>0.32708199999999998</v>
      </c>
      <c r="F10" s="26">
        <v>3.6011160000000002</v>
      </c>
      <c r="G10" s="26">
        <v>28.696100999999999</v>
      </c>
      <c r="H10" s="26">
        <v>262.76049499999999</v>
      </c>
      <c r="I10" s="26"/>
      <c r="J10" s="31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34"/>
      <c r="AC10" s="34"/>
      <c r="AD10" s="27"/>
      <c r="AF10" s="135"/>
      <c r="AG10" s="135"/>
      <c r="AH10" s="14" t="s">
        <v>59</v>
      </c>
      <c r="AI10">
        <f>AC12</f>
        <v>1.0283075440794212</v>
      </c>
      <c r="AJ10">
        <f>AC26</f>
        <v>1.0008567234345154</v>
      </c>
      <c r="AK10">
        <f>AC40</f>
        <v>1.0719753623885691</v>
      </c>
      <c r="AL10">
        <f>AC54</f>
        <v>1.2354442526057605</v>
      </c>
      <c r="AM10">
        <f>AC68</f>
        <v>1.0122774867355249</v>
      </c>
    </row>
    <row r="11" spans="1:44" x14ac:dyDescent="0.55000000000000004">
      <c r="A11" s="136" t="s">
        <v>51</v>
      </c>
      <c r="B11" s="19" t="s">
        <v>47</v>
      </c>
      <c r="C11" s="20">
        <v>4.6909999999999999E-3</v>
      </c>
      <c r="D11" s="20">
        <v>2.5335E-2</v>
      </c>
      <c r="E11" s="20">
        <v>0.116522</v>
      </c>
      <c r="F11" s="20">
        <v>2.1217350000000001</v>
      </c>
      <c r="G11" s="20">
        <v>22.295344</v>
      </c>
      <c r="H11" s="20">
        <v>195.15107699999999</v>
      </c>
      <c r="I11" s="20"/>
      <c r="J11" s="29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33"/>
      <c r="AC11" s="33"/>
      <c r="AD11" s="21"/>
      <c r="AG11" s="135" t="s">
        <v>217</v>
      </c>
      <c r="AH11" s="108" t="s">
        <v>58</v>
      </c>
      <c r="AI11">
        <f>AB14</f>
        <v>5.3433248268341872E-10</v>
      </c>
      <c r="AJ11">
        <f>AB29</f>
        <v>3.4172555745559377E-10</v>
      </c>
      <c r="AK11" s="14">
        <f>AB43</f>
        <v>2.1491756015649904E-10</v>
      </c>
      <c r="AL11">
        <f>AB56</f>
        <v>7.0563969181260902E-9</v>
      </c>
      <c r="AM11">
        <f>AB70</f>
        <v>8.4869290581973724E-10</v>
      </c>
    </row>
    <row r="12" spans="1:44" x14ac:dyDescent="0.55000000000000004">
      <c r="A12" s="136"/>
      <c r="B12" s="22" t="s">
        <v>48</v>
      </c>
      <c r="C12" s="23">
        <v>3.5569999999999998E-3</v>
      </c>
      <c r="D12" s="23">
        <v>2.2655999999999999E-2</v>
      </c>
      <c r="E12" s="23">
        <v>0.28633199999999998</v>
      </c>
      <c r="F12" s="23">
        <v>2.8170850000000001</v>
      </c>
      <c r="G12" s="23">
        <v>33.727944000000001</v>
      </c>
      <c r="H12" s="23">
        <v>202.81890999999999</v>
      </c>
      <c r="I12" s="23"/>
      <c r="J12" s="30">
        <f>LOG(C12)</f>
        <v>-2.4489161348142199</v>
      </c>
      <c r="K12" s="24">
        <f t="shared" ref="K12" si="14">LOG(D12)</f>
        <v>-1.6448167639903251</v>
      </c>
      <c r="L12" s="24">
        <f t="shared" ref="L12" si="15">LOG(E12)</f>
        <v>-0.54313011321900495</v>
      </c>
      <c r="M12" s="24">
        <f t="shared" ref="M12" si="16">LOG(F12)</f>
        <v>0.44979995116541022</v>
      </c>
      <c r="N12" s="24">
        <f t="shared" ref="N12" si="17">LOG(G12)</f>
        <v>1.5279898681186594</v>
      </c>
      <c r="O12" s="24">
        <f t="shared" ref="O12" si="18">LOG(H12)</f>
        <v>2.3071084443782146</v>
      </c>
      <c r="P12" s="24" t="e">
        <f t="shared" ref="P12" si="19">LOG(I12)</f>
        <v>#NUM!</v>
      </c>
      <c r="Q12" s="24"/>
      <c r="R12" s="24"/>
      <c r="S12" s="24"/>
      <c r="T12" s="24"/>
      <c r="U12" s="24"/>
      <c r="V12" s="24"/>
      <c r="W12" s="24"/>
      <c r="X12" s="24"/>
      <c r="Y12" s="24"/>
      <c r="Z12" s="24">
        <f>SLOPE(M12:O12,M$4:O$4)</f>
        <v>1.0283075440794212</v>
      </c>
      <c r="AA12" s="24">
        <f>INTERCEPT(M12:O12,M$4:O$4)</f>
        <v>-8.7868972914496588</v>
      </c>
      <c r="AB12" s="32">
        <f>POWER(10,AA12)</f>
        <v>1.6334382024755697E-9</v>
      </c>
      <c r="AC12" s="32">
        <f>Z12</f>
        <v>1.0283075440794212</v>
      </c>
      <c r="AD12" s="24"/>
      <c r="AG12" s="135"/>
      <c r="AH12" s="14" t="s">
        <v>59</v>
      </c>
      <c r="AI12">
        <f>AC14</f>
        <v>0.99993964925527357</v>
      </c>
      <c r="AJ12">
        <f>AC29</f>
        <v>1.1904559959968719</v>
      </c>
      <c r="AK12">
        <f>AC43</f>
        <v>1.0719753623885691</v>
      </c>
      <c r="AL12">
        <f>AC56</f>
        <v>1.0033892164123821</v>
      </c>
      <c r="AM12">
        <f>AC70</f>
        <v>0.99020436388563426</v>
      </c>
    </row>
    <row r="13" spans="1:44" x14ac:dyDescent="0.55000000000000004">
      <c r="A13" s="136"/>
      <c r="B13" s="25" t="s">
        <v>49</v>
      </c>
      <c r="C13" s="26">
        <v>2.5509999999999999E-3</v>
      </c>
      <c r="D13" s="26">
        <v>1.7335E-2</v>
      </c>
      <c r="E13" s="26">
        <v>0.109361</v>
      </c>
      <c r="F13" s="26">
        <v>2.087259</v>
      </c>
      <c r="G13" s="26">
        <v>21.632439999999999</v>
      </c>
      <c r="H13" s="26">
        <v>198.92282599999999</v>
      </c>
      <c r="I13" s="26"/>
      <c r="J13" s="31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34"/>
      <c r="AC13" s="34"/>
      <c r="AD13" s="27"/>
      <c r="AF13" s="108"/>
      <c r="AG13" s="139" t="s">
        <v>181</v>
      </c>
      <c r="AH13" s="139"/>
      <c r="AI13" s="139"/>
      <c r="AJ13" s="139"/>
      <c r="AK13" s="139"/>
      <c r="AL13" s="139"/>
      <c r="AM13" s="139"/>
      <c r="AN13">
        <v>4096</v>
      </c>
    </row>
    <row r="14" spans="1:44" x14ac:dyDescent="0.55000000000000004">
      <c r="A14" s="15" t="s">
        <v>216</v>
      </c>
      <c r="B14" s="15" t="s">
        <v>47</v>
      </c>
      <c r="C14" s="94">
        <v>1.3179999999999999E-3</v>
      </c>
      <c r="D14" s="94">
        <v>9.0100000000000006E-3</v>
      </c>
      <c r="E14" s="94">
        <v>7.17E-2</v>
      </c>
      <c r="F14" s="94">
        <v>0.57279999999999998</v>
      </c>
      <c r="G14" s="94">
        <v>4.5869999999999997</v>
      </c>
      <c r="H14" s="94">
        <v>36.65</v>
      </c>
      <c r="I14" s="119"/>
      <c r="J14" s="30">
        <f>LOG(C14)</f>
        <v>-2.8800845897420091</v>
      </c>
      <c r="K14" s="24">
        <f t="shared" ref="K14" si="20">LOG(D14)</f>
        <v>-2.0452752090209372</v>
      </c>
      <c r="L14" s="24">
        <f t="shared" ref="L14" si="21">LOG(E14)</f>
        <v>-1.1444808443321999</v>
      </c>
      <c r="M14" s="24">
        <f t="shared" ref="M14" si="22">LOG(F14)</f>
        <v>-0.24199699070020086</v>
      </c>
      <c r="N14" s="24">
        <f t="shared" ref="N14" si="23">LOG(G14)</f>
        <v>0.66152874013198248</v>
      </c>
      <c r="O14" s="24">
        <f t="shared" ref="O14" si="24">LOG(H14)</f>
        <v>1.5640739789771467</v>
      </c>
      <c r="P14" s="24" t="e">
        <f t="shared" ref="P14" si="25">LOG(I14)</f>
        <v>#NUM!</v>
      </c>
      <c r="Q14" s="14"/>
      <c r="R14" s="14"/>
      <c r="S14" s="14"/>
      <c r="T14" s="14"/>
      <c r="U14" s="14"/>
      <c r="V14" s="14"/>
      <c r="W14" s="14"/>
      <c r="X14" s="14"/>
      <c r="Y14" s="14"/>
      <c r="Z14" s="24">
        <f>SLOPE(M14:O14,M$4:O$4)</f>
        <v>0.99993964925527357</v>
      </c>
      <c r="AA14" s="24">
        <f>INTERCEPT(M14:O14,M$4:O$4)</f>
        <v>-9.2721884237557681</v>
      </c>
      <c r="AB14" s="32">
        <f>POWER(10,AA14)</f>
        <v>5.3433248268341872E-10</v>
      </c>
      <c r="AC14" s="32">
        <f>Z14</f>
        <v>0.99993964925527357</v>
      </c>
      <c r="AD14" s="14"/>
      <c r="AF14" s="108"/>
      <c r="AH14" s="11" t="s">
        <v>182</v>
      </c>
      <c r="AI14" s="36">
        <f>H4</f>
        <v>68719476736</v>
      </c>
      <c r="AJ14" s="36">
        <f>H18</f>
        <v>335544320</v>
      </c>
      <c r="AK14" s="36">
        <f>H32</f>
        <v>1374389534720</v>
      </c>
      <c r="AL14" s="36">
        <f>H46</f>
        <v>68719476736</v>
      </c>
      <c r="AM14" s="36">
        <f>H60</f>
        <v>402653184</v>
      </c>
    </row>
    <row r="15" spans="1:44" x14ac:dyDescent="0.55000000000000004">
      <c r="A15" s="109"/>
      <c r="B15" s="118"/>
      <c r="C15" s="119"/>
      <c r="D15" s="119"/>
      <c r="E15" s="119"/>
      <c r="F15" s="119"/>
      <c r="G15" s="119"/>
      <c r="H15" s="119"/>
      <c r="I15" s="119"/>
      <c r="J15" s="105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20"/>
      <c r="AC15" s="120"/>
      <c r="AD15" s="14"/>
      <c r="AF15" s="108"/>
      <c r="AG15" s="113" t="s">
        <v>177</v>
      </c>
      <c r="AH15" s="108" t="s">
        <v>165</v>
      </c>
      <c r="AI15" s="99">
        <f>AI5*AI14^AI6</f>
        <v>10.188847281264648</v>
      </c>
      <c r="AJ15" s="99">
        <f>AJ5*AJ14^AJ6</f>
        <v>0.19511334790622575</v>
      </c>
      <c r="AK15" s="99">
        <f>AK5*AK14^AK6</f>
        <v>93.089974074959173</v>
      </c>
      <c r="AL15" s="99">
        <f>AL5*AL14^AL6</f>
        <v>443.39242636628325</v>
      </c>
      <c r="AM15" s="99">
        <f>AM5*AM14^AM6</f>
        <v>2.661032329440796</v>
      </c>
    </row>
    <row r="16" spans="1:44" x14ac:dyDescent="0.55000000000000004">
      <c r="AF16" s="108"/>
      <c r="AG16" s="113"/>
      <c r="AH16" s="108" t="s">
        <v>84</v>
      </c>
      <c r="AI16" s="99">
        <f>AI7*AI14^AI8</f>
        <v>2301.2158699693418</v>
      </c>
      <c r="AJ16" s="99">
        <f>AJ7*AJ14^AJ8</f>
        <v>14.958136559292235</v>
      </c>
      <c r="AK16" s="99">
        <f>AK7*AK14^AK8</f>
        <v>16431.679024712539</v>
      </c>
      <c r="AL16" s="99">
        <f>AL7*AL14^AL8</f>
        <v>57712.088266914827</v>
      </c>
      <c r="AM16" s="99">
        <f>AM7*AM14^AM8</f>
        <v>213.52850186541244</v>
      </c>
    </row>
    <row r="17" spans="1:40" x14ac:dyDescent="0.55000000000000004">
      <c r="A17" s="137" t="s">
        <v>52</v>
      </c>
      <c r="B17" s="137"/>
      <c r="C17" s="137"/>
      <c r="D17" s="137"/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7"/>
      <c r="R17" s="137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  <c r="AC17" s="137"/>
      <c r="AD17" s="137"/>
      <c r="AF17" s="108"/>
      <c r="AG17" s="113"/>
      <c r="AH17" s="108" t="s">
        <v>90</v>
      </c>
      <c r="AI17" s="99">
        <f>AI9*AI14^AI10</f>
        <v>227.4854727746368</v>
      </c>
      <c r="AJ17" s="99">
        <f>AJ9*AJ14^AJ10</f>
        <v>0.59116925774512774</v>
      </c>
      <c r="AK17" s="99">
        <f>AK9*AK14^AK10</f>
        <v>2208.1399523249133</v>
      </c>
      <c r="AL17" s="99">
        <f>AL9*AL14^AL10</f>
        <v>5490.5480142040815</v>
      </c>
      <c r="AM17" s="99">
        <f>AM9*AM14^AM10</f>
        <v>20.55914021594532</v>
      </c>
    </row>
    <row r="18" spans="1:40" s="14" customFormat="1" ht="25.5" x14ac:dyDescent="0.55000000000000004">
      <c r="A18" s="75"/>
      <c r="B18" s="15" t="s">
        <v>167</v>
      </c>
      <c r="C18" s="94">
        <f t="shared" ref="C18:I18" si="26">20*C3^2</f>
        <v>327680</v>
      </c>
      <c r="D18" s="94">
        <f t="shared" si="26"/>
        <v>1310720</v>
      </c>
      <c r="E18" s="94">
        <f t="shared" si="26"/>
        <v>5242880</v>
      </c>
      <c r="F18" s="94">
        <f t="shared" si="26"/>
        <v>20971520</v>
      </c>
      <c r="G18" s="94">
        <f t="shared" si="26"/>
        <v>83886080</v>
      </c>
      <c r="H18" s="94">
        <f t="shared" si="26"/>
        <v>335544320</v>
      </c>
      <c r="I18" s="94">
        <f t="shared" si="26"/>
        <v>1342177280</v>
      </c>
      <c r="J18" s="82">
        <f>LOG(C18)</f>
        <v>5.5154499349597179</v>
      </c>
      <c r="K18" s="82">
        <f t="shared" ref="K18" si="27">LOG(D18)</f>
        <v>6.1175099262876804</v>
      </c>
      <c r="L18" s="82">
        <f t="shared" ref="L18" si="28">LOG(E18)</f>
        <v>6.7195699176156429</v>
      </c>
      <c r="M18" s="82">
        <f t="shared" ref="M18" si="29">LOG(F18)</f>
        <v>7.3216299089436054</v>
      </c>
      <c r="N18" s="82">
        <f t="shared" ref="N18" si="30">LOG(G18)</f>
        <v>7.9236899002715671</v>
      </c>
      <c r="O18" s="82">
        <f t="shared" ref="O18" si="31">LOG(H18)</f>
        <v>8.5257498915995296</v>
      </c>
      <c r="P18" s="82">
        <f t="shared" ref="P18" si="32">LOG(I18)</f>
        <v>9.1278098829274921</v>
      </c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F18" s="108"/>
      <c r="AH18" s="108" t="s">
        <v>217</v>
      </c>
      <c r="AI18" s="99">
        <f>AI11*AI14^AI12</f>
        <v>36.663793172775954</v>
      </c>
      <c r="AJ18" s="99">
        <f t="shared" ref="AJ18:AM18" si="33">AJ11*AJ14^AJ12</f>
        <v>4.821781645709641</v>
      </c>
      <c r="AK18" s="99">
        <f t="shared" si="33"/>
        <v>2208.1399523249133</v>
      </c>
      <c r="AL18" s="99">
        <f t="shared" si="33"/>
        <v>527.70602706026784</v>
      </c>
      <c r="AM18" s="99">
        <f t="shared" si="33"/>
        <v>0.28144331361863711</v>
      </c>
      <c r="AN18"/>
    </row>
    <row r="19" spans="1:40" x14ac:dyDescent="0.55000000000000004">
      <c r="A19" s="136" t="s">
        <v>46</v>
      </c>
      <c r="B19" s="19" t="s">
        <v>47</v>
      </c>
      <c r="C19" s="20">
        <v>1.08E-4</v>
      </c>
      <c r="D19" s="20">
        <v>5.0199999999999995E-4</v>
      </c>
      <c r="E19" s="20">
        <v>2.2599999999999999E-3</v>
      </c>
      <c r="F19" s="20">
        <v>9.4350000000000007E-3</v>
      </c>
      <c r="G19" s="20">
        <v>3.7469000000000002E-2</v>
      </c>
      <c r="H19" s="20">
        <v>0.15055399999999999</v>
      </c>
      <c r="I19" s="20">
        <v>0.60334299999999996</v>
      </c>
      <c r="J19" s="29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33"/>
      <c r="AC19" s="33"/>
      <c r="AD19" s="21"/>
      <c r="AG19" s="110" t="s">
        <v>155</v>
      </c>
      <c r="AH19" s="108" t="s">
        <v>165</v>
      </c>
      <c r="AI19" s="99">
        <f t="shared" ref="AI19:AM22" si="34">AI$14/AI15</f>
        <v>6744578148.9297657</v>
      </c>
      <c r="AJ19" s="99">
        <f t="shared" si="34"/>
        <v>1719740466.7632856</v>
      </c>
      <c r="AK19" s="99">
        <f t="shared" si="34"/>
        <v>14764098372.326277</v>
      </c>
      <c r="AL19" s="99">
        <f t="shared" si="34"/>
        <v>154985680.06488985</v>
      </c>
      <c r="AM19" s="99">
        <f t="shared" si="34"/>
        <v>151314653.16868803</v>
      </c>
    </row>
    <row r="20" spans="1:40" x14ac:dyDescent="0.55000000000000004">
      <c r="A20" s="136"/>
      <c r="B20" s="22" t="s">
        <v>48</v>
      </c>
      <c r="C20" s="23">
        <v>1.2400000000000001E-4</v>
      </c>
      <c r="D20" s="23">
        <v>5.4699999999999996E-4</v>
      </c>
      <c r="E20" s="23">
        <v>3.0119999999999999E-3</v>
      </c>
      <c r="F20" s="23">
        <v>1.2122000000000001E-2</v>
      </c>
      <c r="G20" s="23">
        <v>4.8021000000000001E-2</v>
      </c>
      <c r="H20" s="23">
        <v>0.197385</v>
      </c>
      <c r="I20" s="23">
        <v>0.780949</v>
      </c>
      <c r="J20" s="30">
        <f>LOG(C20)</f>
        <v>-3.9065783148377649</v>
      </c>
      <c r="K20" s="24">
        <f t="shared" ref="K20" si="35">LOG(D20)</f>
        <v>-3.2620126736665691</v>
      </c>
      <c r="L20" s="24">
        <f t="shared" ref="L20" si="36">LOG(E20)</f>
        <v>-2.5211450324713369</v>
      </c>
      <c r="M20" s="24">
        <f t="shared" ref="M20" si="37">LOG(F20)</f>
        <v>-1.9164257203260087</v>
      </c>
      <c r="N20" s="24">
        <f t="shared" ref="N20" si="38">LOG(G20)</f>
        <v>-1.3185688003398006</v>
      </c>
      <c r="O20" s="24">
        <f t="shared" ref="O20" si="39">LOG(H20)</f>
        <v>-0.70468585402073536</v>
      </c>
      <c r="P20" s="24">
        <f t="shared" ref="P20" si="40">LOG(I20)</f>
        <v>-0.10737732686762148</v>
      </c>
      <c r="Q20" s="24"/>
      <c r="R20" s="24"/>
      <c r="S20" s="24"/>
      <c r="T20" s="24"/>
      <c r="U20" s="24"/>
      <c r="V20" s="24"/>
      <c r="W20" s="24"/>
      <c r="X20" s="24"/>
      <c r="Y20" s="24"/>
      <c r="Z20" s="24">
        <f>SLOPE(M20:P20,M$18:P$18)</f>
        <v>1.0033930528035164</v>
      </c>
      <c r="AA20" s="24">
        <f>INTERCEPT(M20:P20,M$18:P$18)</f>
        <v>-9.2643912302251312</v>
      </c>
      <c r="AB20" s="32">
        <f>POWER(10,AA20)</f>
        <v>5.4401236346063865E-10</v>
      </c>
      <c r="AC20" s="32">
        <f>Z20</f>
        <v>1.0033930528035164</v>
      </c>
      <c r="AD20" s="24"/>
      <c r="AF20" s="110"/>
      <c r="AG20" s="110"/>
      <c r="AH20" s="108" t="s">
        <v>84</v>
      </c>
      <c r="AI20" s="99">
        <f t="shared" si="34"/>
        <v>29862247.01158328</v>
      </c>
      <c r="AJ20" s="99">
        <f t="shared" si="34"/>
        <v>22432227.347968318</v>
      </c>
      <c r="AK20" s="99">
        <f t="shared" si="34"/>
        <v>83642671.735065982</v>
      </c>
      <c r="AL20" s="99">
        <f t="shared" si="34"/>
        <v>1190729.3393747369</v>
      </c>
      <c r="AM20" s="99">
        <f t="shared" si="34"/>
        <v>1885711.6519919825</v>
      </c>
      <c r="AN20" s="14"/>
    </row>
    <row r="21" spans="1:40" x14ac:dyDescent="0.55000000000000004">
      <c r="A21" s="136"/>
      <c r="B21" s="25" t="s">
        <v>49</v>
      </c>
      <c r="C21" s="26">
        <v>9.0000000000000006E-5</v>
      </c>
      <c r="D21" s="26">
        <v>3.3700000000000001E-4</v>
      </c>
      <c r="E21" s="26">
        <v>1.5150000000000001E-3</v>
      </c>
      <c r="F21" s="26">
        <v>7.326E-3</v>
      </c>
      <c r="G21" s="26">
        <v>2.8837999999999999E-2</v>
      </c>
      <c r="H21" s="26">
        <v>0.115144</v>
      </c>
      <c r="I21" s="26">
        <v>0.48116999999999999</v>
      </c>
      <c r="J21" s="31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34"/>
      <c r="AC21" s="34"/>
      <c r="AD21" s="27"/>
      <c r="AG21" s="110"/>
      <c r="AH21" s="108" t="s">
        <v>90</v>
      </c>
      <c r="AI21" s="99">
        <f t="shared" si="34"/>
        <v>302082923.79214197</v>
      </c>
      <c r="AJ21" s="99">
        <f t="shared" si="34"/>
        <v>567594332.08663917</v>
      </c>
      <c r="AK21" s="99">
        <f t="shared" si="34"/>
        <v>622419576.83566594</v>
      </c>
      <c r="AL21" s="99">
        <f t="shared" si="34"/>
        <v>12515959.528670415</v>
      </c>
      <c r="AM21" s="99">
        <f t="shared" si="34"/>
        <v>19585117.84883441</v>
      </c>
    </row>
    <row r="22" spans="1:40" x14ac:dyDescent="0.55000000000000004">
      <c r="A22" s="136" t="s">
        <v>50</v>
      </c>
      <c r="B22" s="19" t="s">
        <v>47</v>
      </c>
      <c r="C22" s="20">
        <v>3.1350000000000002E-3</v>
      </c>
      <c r="D22" s="20">
        <v>1.2555E-2</v>
      </c>
      <c r="E22" s="20">
        <v>4.9991000000000001E-2</v>
      </c>
      <c r="F22" s="20">
        <v>0.19855900000000001</v>
      </c>
      <c r="G22" s="20">
        <v>0.79291999999999996</v>
      </c>
      <c r="H22" s="20">
        <v>3.1849750000000001</v>
      </c>
      <c r="I22" s="20"/>
      <c r="J22" s="29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33"/>
      <c r="AC22" s="33"/>
      <c r="AD22" s="21"/>
      <c r="AH22" s="108" t="s">
        <v>217</v>
      </c>
      <c r="AI22" s="99">
        <f t="shared" si="34"/>
        <v>1874314433.6474826</v>
      </c>
      <c r="AJ22" s="99">
        <f t="shared" si="34"/>
        <v>69589281.443004161</v>
      </c>
      <c r="AK22" s="99">
        <f t="shared" si="34"/>
        <v>622419576.83566594</v>
      </c>
      <c r="AL22" s="99">
        <f t="shared" si="34"/>
        <v>130223027.99689597</v>
      </c>
      <c r="AM22" s="99">
        <f t="shared" si="34"/>
        <v>1430672410.8059833</v>
      </c>
    </row>
    <row r="23" spans="1:40" x14ac:dyDescent="0.55000000000000004">
      <c r="A23" s="136"/>
      <c r="B23" s="22" t="s">
        <v>48</v>
      </c>
      <c r="C23" s="23">
        <v>4.6059999999999999E-3</v>
      </c>
      <c r="D23" s="23">
        <v>1.8189E-2</v>
      </c>
      <c r="E23" s="23">
        <v>7.2549000000000002E-2</v>
      </c>
      <c r="F23" s="23">
        <v>0.28880499999999998</v>
      </c>
      <c r="G23" s="23">
        <v>1.1551610000000001</v>
      </c>
      <c r="H23" s="23">
        <v>4.5989310000000003</v>
      </c>
      <c r="I23" s="23"/>
      <c r="J23" s="30">
        <f>LOG(C23)</f>
        <v>-2.3366760663717878</v>
      </c>
      <c r="K23" s="24">
        <f t="shared" ref="K23" si="41">LOG(D23)</f>
        <v>-1.7401911770453711</v>
      </c>
      <c r="L23" s="24">
        <f t="shared" ref="L23" si="42">LOG(E23)</f>
        <v>-1.1393685694078441</v>
      </c>
      <c r="M23" s="24">
        <f t="shared" ref="M23" si="43">LOG(F23)</f>
        <v>-0.5393952922186992</v>
      </c>
      <c r="N23" s="24">
        <f t="shared" ref="N23" si="44">LOG(G23)</f>
        <v>6.2642518027928307E-2</v>
      </c>
      <c r="O23" s="24">
        <f t="shared" ref="O23" si="45">LOG(H23)</f>
        <v>0.66265689369144365</v>
      </c>
      <c r="P23" s="24" t="e">
        <f t="shared" ref="P23" si="46">LOG(I23)</f>
        <v>#NUM!</v>
      </c>
      <c r="Q23" s="24"/>
      <c r="R23" s="24"/>
      <c r="S23" s="24"/>
      <c r="T23" s="24"/>
      <c r="U23" s="24"/>
      <c r="V23" s="24"/>
      <c r="W23" s="24"/>
      <c r="X23" s="24"/>
      <c r="Y23" s="24"/>
      <c r="Z23" s="24">
        <f>SLOPE(M23:O23,M$18:O$18)</f>
        <v>0.99828273197391826</v>
      </c>
      <c r="AA23" s="24">
        <f>INTERCEPT(M23:O23,M$18:O$18)</f>
        <v>-7.8481147611236857</v>
      </c>
      <c r="AB23" s="32">
        <f>POWER(10,AA23)</f>
        <v>1.4186825891772483E-8</v>
      </c>
      <c r="AC23" s="32">
        <f>Z23</f>
        <v>0.99828273197391826</v>
      </c>
      <c r="AD23" s="24"/>
      <c r="AG23" s="112" t="s">
        <v>192</v>
      </c>
      <c r="AH23" s="112"/>
      <c r="AI23" s="112"/>
      <c r="AJ23" s="112"/>
      <c r="AK23" s="112"/>
      <c r="AL23" s="112"/>
      <c r="AM23" s="112"/>
    </row>
    <row r="24" spans="1:40" x14ac:dyDescent="0.55000000000000004">
      <c r="A24" s="136"/>
      <c r="B24" s="25" t="s">
        <v>49</v>
      </c>
      <c r="C24" s="26">
        <v>2.5709999999999999E-3</v>
      </c>
      <c r="D24" s="26">
        <v>1.0362E-2</v>
      </c>
      <c r="E24" s="26">
        <v>4.1024999999999999E-2</v>
      </c>
      <c r="F24" s="26">
        <v>0.16328799999999999</v>
      </c>
      <c r="G24" s="26">
        <v>0.65285499999999996</v>
      </c>
      <c r="H24" s="26">
        <v>2.6320329999999998</v>
      </c>
      <c r="I24" s="26"/>
      <c r="J24" s="31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34"/>
      <c r="AC24" s="34"/>
      <c r="AD24" s="27"/>
      <c r="AH24" s="92" t="s">
        <v>187</v>
      </c>
      <c r="AI24" s="36">
        <f>AI14</f>
        <v>68719476736</v>
      </c>
      <c r="AJ24" s="36">
        <f>AJ14</f>
        <v>335544320</v>
      </c>
      <c r="AK24" s="36">
        <f>10*AN13^3</f>
        <v>687194767360</v>
      </c>
      <c r="AL24" s="36">
        <f>4/3 *AN13^3</f>
        <v>91625968981.333328</v>
      </c>
      <c r="AM24" s="36">
        <f>2*AN13^2 * LOG(AN13,2)</f>
        <v>402653184</v>
      </c>
    </row>
    <row r="25" spans="1:40" x14ac:dyDescent="0.55000000000000004">
      <c r="A25" s="136" t="s">
        <v>51</v>
      </c>
      <c r="B25" s="19" t="s">
        <v>47</v>
      </c>
      <c r="C25" s="20">
        <v>5.7899999999999998E-4</v>
      </c>
      <c r="D25" s="20">
        <v>2.199E-3</v>
      </c>
      <c r="E25" s="20">
        <v>8.9440000000000006E-3</v>
      </c>
      <c r="F25" s="20">
        <v>3.5375999999999998E-2</v>
      </c>
      <c r="G25" s="20">
        <v>0.14147399999999999</v>
      </c>
      <c r="H25" s="20">
        <v>0.564299</v>
      </c>
      <c r="I25" s="20">
        <v>2.2708379999999999</v>
      </c>
      <c r="J25" s="29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33"/>
      <c r="AC25" s="33"/>
      <c r="AD25" s="21"/>
      <c r="AH25" s="92" t="s">
        <v>188</v>
      </c>
      <c r="AI25" s="36">
        <f>AI24</f>
        <v>68719476736</v>
      </c>
      <c r="AJ25" s="36">
        <f>AJ24</f>
        <v>335544320</v>
      </c>
      <c r="AK25" s="36">
        <f>AK24</f>
        <v>687194767360</v>
      </c>
      <c r="AL25" s="36">
        <f>AN13^3</f>
        <v>68719476736</v>
      </c>
      <c r="AM25" s="36">
        <f>2*AN13^2</f>
        <v>33554432</v>
      </c>
    </row>
    <row r="26" spans="1:40" x14ac:dyDescent="0.55000000000000004">
      <c r="A26" s="136"/>
      <c r="B26" s="22" t="s">
        <v>48</v>
      </c>
      <c r="C26" s="23">
        <v>6.0400000000000004E-4</v>
      </c>
      <c r="D26" s="23">
        <v>2.3570000000000002E-3</v>
      </c>
      <c r="E26" s="23">
        <v>9.2090000000000002E-3</v>
      </c>
      <c r="F26" s="23">
        <v>3.6769000000000003E-2</v>
      </c>
      <c r="G26" s="23">
        <v>0.14769299999999999</v>
      </c>
      <c r="H26" s="23">
        <v>0.59497599999999995</v>
      </c>
      <c r="I26" s="23">
        <v>2.356973</v>
      </c>
      <c r="J26" s="30">
        <f>LOG(C26)</f>
        <v>-3.2189630613788682</v>
      </c>
      <c r="K26" s="24">
        <f t="shared" ref="K26" si="47">LOG(D26)</f>
        <v>-2.6276404174756762</v>
      </c>
      <c r="L26" s="24">
        <f t="shared" ref="L26" si="48">LOG(E26)</f>
        <v>-2.0357875270301808</v>
      </c>
      <c r="M26" s="24">
        <f t="shared" ref="M26" si="49">LOG(F26)</f>
        <v>-1.4345181814008565</v>
      </c>
      <c r="N26" s="24">
        <f t="shared" ref="N26" si="50">LOG(G26)</f>
        <v>-0.83064008785267451</v>
      </c>
      <c r="O26" s="24">
        <f t="shared" ref="O26" si="51">LOG(H26)</f>
        <v>-0.22550055238537392</v>
      </c>
      <c r="P26" s="24">
        <f t="shared" ref="P26" si="52">LOG(I26)</f>
        <v>0.37235460754843336</v>
      </c>
      <c r="Q26" s="24"/>
      <c r="R26" s="24"/>
      <c r="S26" s="24"/>
      <c r="T26" s="24"/>
      <c r="U26" s="24"/>
      <c r="V26" s="24"/>
      <c r="W26" s="24"/>
      <c r="X26" s="24"/>
      <c r="Y26" s="24"/>
      <c r="Z26" s="24">
        <f>SLOPE(M26:P26,M$18:P$18)</f>
        <v>1.0008567234345154</v>
      </c>
      <c r="AA26" s="24">
        <f>INTERCEPT(M26:P26,M$18:P$18)</f>
        <v>-8.7613422597353399</v>
      </c>
      <c r="AB26" s="32">
        <f>POWER(10,AA26)</f>
        <v>1.732438156015168E-9</v>
      </c>
      <c r="AC26" s="32">
        <f>Z26</f>
        <v>1.0008567234345154</v>
      </c>
      <c r="AD26" s="24"/>
      <c r="AH26" s="92" t="s">
        <v>189</v>
      </c>
      <c r="AI26" s="36">
        <f>AI25*8</f>
        <v>549755813888</v>
      </c>
      <c r="AJ26" s="36">
        <f t="shared" ref="AJ26:AM26" si="53">AJ25*8</f>
        <v>2684354560</v>
      </c>
      <c r="AK26" s="36">
        <f t="shared" si="53"/>
        <v>5497558138880</v>
      </c>
      <c r="AL26" s="36">
        <f t="shared" si="53"/>
        <v>549755813888</v>
      </c>
      <c r="AM26" s="36">
        <f t="shared" si="53"/>
        <v>268435456</v>
      </c>
    </row>
    <row r="27" spans="1:40" x14ac:dyDescent="0.55000000000000004">
      <c r="A27" s="136"/>
      <c r="B27" s="25" t="s">
        <v>49</v>
      </c>
      <c r="C27" s="26">
        <v>4.0000000000000002E-4</v>
      </c>
      <c r="D27" s="26">
        <v>2.5950000000000001E-3</v>
      </c>
      <c r="E27" s="26">
        <v>6.2100000000000002E-3</v>
      </c>
      <c r="F27" s="26">
        <v>2.4527E-2</v>
      </c>
      <c r="G27" s="26">
        <v>9.7894999999999996E-2</v>
      </c>
      <c r="H27" s="26">
        <v>0.39996300000000001</v>
      </c>
      <c r="I27" s="26">
        <v>1.615578</v>
      </c>
      <c r="J27" s="31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34"/>
      <c r="AC27" s="34"/>
      <c r="AD27" s="27"/>
      <c r="AG27" t="s">
        <v>190</v>
      </c>
      <c r="AH27" s="92" t="s">
        <v>191</v>
      </c>
      <c r="AI27" s="36"/>
      <c r="AJ27" s="36"/>
      <c r="AK27" s="36"/>
      <c r="AL27" s="36"/>
      <c r="AM27" s="36"/>
    </row>
    <row r="28" spans="1:40" x14ac:dyDescent="0.55000000000000004">
      <c r="A28" s="121" t="s">
        <v>216</v>
      </c>
      <c r="B28" s="124"/>
      <c r="C28" s="124"/>
      <c r="D28" s="124"/>
      <c r="E28" s="124"/>
      <c r="F28" s="124"/>
      <c r="G28" s="20"/>
      <c r="H28" s="20"/>
      <c r="I28" s="20"/>
      <c r="J28" s="29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33"/>
      <c r="AC28" s="33"/>
      <c r="AD28" s="21"/>
      <c r="AF28" s="108" t="s">
        <v>165</v>
      </c>
      <c r="AG28" s="36">
        <v>403000000000</v>
      </c>
      <c r="AH28" s="106">
        <v>307000000000</v>
      </c>
      <c r="AI28" s="36">
        <f t="shared" ref="AI28:AM31" si="54">MAX(AI$24/$AG28,AI$26/$AH28)</f>
        <v>1.7907355501237785</v>
      </c>
      <c r="AJ28" s="36">
        <f t="shared" si="54"/>
        <v>8.743825928338762E-3</v>
      </c>
      <c r="AK28" s="36">
        <f t="shared" si="54"/>
        <v>17.907355501237785</v>
      </c>
      <c r="AL28" s="36">
        <f t="shared" si="54"/>
        <v>1.7907355501237785</v>
      </c>
      <c r="AM28" s="36">
        <f t="shared" si="54"/>
        <v>9.9913941439205953E-4</v>
      </c>
    </row>
    <row r="29" spans="1:40" x14ac:dyDescent="0.55000000000000004">
      <c r="A29" s="15"/>
      <c r="B29" s="125" t="s">
        <v>48</v>
      </c>
      <c r="C29" s="126">
        <v>1.4400000000000001E-3</v>
      </c>
      <c r="D29" s="126">
        <v>4.7800000000000004E-3</v>
      </c>
      <c r="E29" s="126">
        <v>4.2700000000000002E-2</v>
      </c>
      <c r="F29" s="126">
        <v>0.17</v>
      </c>
      <c r="G29" s="23"/>
      <c r="H29" s="23"/>
      <c r="I29" s="23"/>
      <c r="J29" s="30">
        <f>LOG(C29)</f>
        <v>-2.8416375079047502</v>
      </c>
      <c r="K29" s="24">
        <f t="shared" ref="K29" si="55">LOG(D29)</f>
        <v>-2.3205721033878812</v>
      </c>
      <c r="L29" s="24">
        <f t="shared" ref="L29" si="56">LOG(E29)</f>
        <v>-1.3695721249749762</v>
      </c>
      <c r="M29" s="24">
        <f t="shared" ref="M29" si="57">LOG(F29)</f>
        <v>-0.769551078621726</v>
      </c>
      <c r="N29" s="123"/>
      <c r="O29" s="123"/>
      <c r="P29" s="123"/>
      <c r="Q29" s="123"/>
      <c r="R29" s="123"/>
      <c r="S29" s="123"/>
      <c r="T29" s="123"/>
      <c r="U29" s="123"/>
      <c r="V29" s="123"/>
      <c r="W29" s="123"/>
      <c r="X29" s="123"/>
      <c r="Y29" s="123"/>
      <c r="Z29" s="24">
        <f>SLOPE(J29:M29,J$18:M$18)</f>
        <v>1.1904559959968719</v>
      </c>
      <c r="AA29" s="24">
        <f>INTERCEPT(J29:M29,J$18:M$18)</f>
        <v>-9.4663225393549837</v>
      </c>
      <c r="AB29" s="32">
        <f>POWER(10,AA29)</f>
        <v>3.4172555745559377E-10</v>
      </c>
      <c r="AC29" s="32">
        <f>Z29</f>
        <v>1.1904559959968719</v>
      </c>
      <c r="AD29" s="123"/>
      <c r="AF29" s="108" t="s">
        <v>84</v>
      </c>
      <c r="AG29" s="36">
        <v>3700000000</v>
      </c>
      <c r="AH29" s="106">
        <v>13000000000</v>
      </c>
      <c r="AI29" s="36">
        <f t="shared" si="54"/>
        <v>42.288908760615385</v>
      </c>
      <c r="AJ29" s="36">
        <f t="shared" si="54"/>
        <v>0.20648881230769231</v>
      </c>
      <c r="AK29" s="36">
        <f t="shared" si="54"/>
        <v>422.88908760615385</v>
      </c>
      <c r="AL29" s="36">
        <f t="shared" si="54"/>
        <v>42.288908760615385</v>
      </c>
      <c r="AM29" s="36">
        <f t="shared" si="54"/>
        <v>0.10882518486486487</v>
      </c>
    </row>
    <row r="30" spans="1:40" x14ac:dyDescent="0.55000000000000004">
      <c r="AF30" s="108" t="s">
        <v>90</v>
      </c>
      <c r="AG30" s="36">
        <v>57600000000</v>
      </c>
      <c r="AH30" s="106">
        <v>33600000000</v>
      </c>
      <c r="AI30" s="36">
        <f t="shared" si="54"/>
        <v>16.361780175238096</v>
      </c>
      <c r="AJ30" s="36">
        <f t="shared" si="54"/>
        <v>7.9891504761904764E-2</v>
      </c>
      <c r="AK30" s="36">
        <f t="shared" si="54"/>
        <v>163.61780175238096</v>
      </c>
      <c r="AL30" s="36">
        <f t="shared" si="54"/>
        <v>16.361780175238096</v>
      </c>
      <c r="AM30" s="36">
        <f t="shared" si="54"/>
        <v>7.9891504761904764E-3</v>
      </c>
    </row>
    <row r="31" spans="1:40" x14ac:dyDescent="0.55000000000000004">
      <c r="A31" s="131" t="s">
        <v>53</v>
      </c>
      <c r="B31" s="131"/>
      <c r="C31" s="131"/>
      <c r="D31" s="131"/>
      <c r="E31" s="131"/>
      <c r="F31" s="131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7"/>
      <c r="R31" s="137"/>
      <c r="S31" s="137"/>
      <c r="T31" s="137"/>
      <c r="U31" s="137"/>
      <c r="V31" s="137"/>
      <c r="W31" s="137"/>
      <c r="X31" s="137"/>
      <c r="Y31" s="137"/>
      <c r="Z31" s="137"/>
      <c r="AA31" s="137"/>
      <c r="AB31" s="137"/>
      <c r="AC31" s="137"/>
      <c r="AD31" s="137"/>
      <c r="AF31" s="108" t="s">
        <v>217</v>
      </c>
      <c r="AG31" s="39">
        <f>511*1000000000</f>
        <v>511000000000</v>
      </c>
      <c r="AH31" s="106">
        <f>22400000000</f>
        <v>22400000000</v>
      </c>
      <c r="AI31" s="36">
        <f t="shared" si="54"/>
        <v>24.542670262857143</v>
      </c>
      <c r="AJ31" s="36">
        <f t="shared" si="54"/>
        <v>0.11983725714285715</v>
      </c>
      <c r="AK31" s="36">
        <f t="shared" si="54"/>
        <v>245.42670262857143</v>
      </c>
      <c r="AL31" s="36">
        <f t="shared" si="54"/>
        <v>24.542670262857143</v>
      </c>
      <c r="AM31" s="36">
        <f t="shared" si="54"/>
        <v>1.1983725714285715E-2</v>
      </c>
    </row>
    <row r="32" spans="1:40" s="14" customFormat="1" ht="25.5" x14ac:dyDescent="0.55000000000000004">
      <c r="A32" s="75"/>
      <c r="B32" s="15" t="s">
        <v>167</v>
      </c>
      <c r="C32" s="94">
        <f>20*C$3^3</f>
        <v>41943040</v>
      </c>
      <c r="D32" s="94">
        <f t="shared" ref="D32:I32" si="58">20*D$3^3</f>
        <v>335544320</v>
      </c>
      <c r="E32" s="94">
        <f t="shared" si="58"/>
        <v>2684354560</v>
      </c>
      <c r="F32" s="94">
        <f t="shared" si="58"/>
        <v>21474836480</v>
      </c>
      <c r="G32" s="94">
        <f t="shared" si="58"/>
        <v>171798691840</v>
      </c>
      <c r="H32" s="94">
        <f t="shared" si="58"/>
        <v>1374389534720</v>
      </c>
      <c r="I32" s="94">
        <f t="shared" si="58"/>
        <v>10995116277760</v>
      </c>
      <c r="J32" s="82">
        <f>LOG(C32)</f>
        <v>7.6226599046075867</v>
      </c>
      <c r="K32" s="82">
        <f t="shared" ref="K32" si="59">LOG(D32)</f>
        <v>8.5257498915995296</v>
      </c>
      <c r="L32" s="82">
        <f t="shared" ref="L32" si="60">LOG(E32)</f>
        <v>9.4288398785914733</v>
      </c>
      <c r="M32" s="82">
        <f t="shared" ref="M32" si="61">LOG(F32)</f>
        <v>10.331929865583417</v>
      </c>
      <c r="N32" s="82">
        <f t="shared" ref="N32" si="62">LOG(G32)</f>
        <v>11.235019852575361</v>
      </c>
      <c r="O32" s="82">
        <f t="shared" ref="O32" si="63">LOG(H32)</f>
        <v>12.138109839567305</v>
      </c>
      <c r="P32" s="82">
        <f t="shared" ref="P32" si="64">LOG(I32)</f>
        <v>13.041199826559248</v>
      </c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N32"/>
    </row>
    <row r="33" spans="1:40" x14ac:dyDescent="0.55000000000000004">
      <c r="A33" s="136" t="s">
        <v>46</v>
      </c>
      <c r="B33" s="19" t="s">
        <v>47</v>
      </c>
      <c r="C33" s="20">
        <v>0.33880900000000003</v>
      </c>
      <c r="D33" s="20">
        <v>0.32386700000000002</v>
      </c>
      <c r="E33" s="20">
        <v>0.42138500000000001</v>
      </c>
      <c r="F33" s="20">
        <v>1.687111</v>
      </c>
      <c r="G33" s="20">
        <v>10.847561000000001</v>
      </c>
      <c r="H33" s="20">
        <v>87.200919999999996</v>
      </c>
      <c r="I33" s="20"/>
      <c r="J33" s="29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33"/>
      <c r="AC33" s="33"/>
      <c r="AD33" s="21"/>
      <c r="AH33" s="112" t="s">
        <v>193</v>
      </c>
      <c r="AI33" s="112"/>
      <c r="AJ33" s="112"/>
      <c r="AK33" s="112"/>
      <c r="AL33" s="112"/>
      <c r="AM33" s="112"/>
    </row>
    <row r="34" spans="1:40" x14ac:dyDescent="0.55000000000000004">
      <c r="A34" s="136"/>
      <c r="B34" s="22" t="s">
        <v>48</v>
      </c>
      <c r="C34" s="23">
        <v>0.30606</v>
      </c>
      <c r="D34" s="23">
        <v>0.36171700000000001</v>
      </c>
      <c r="E34" s="23">
        <v>0.44759700000000002</v>
      </c>
      <c r="F34" s="23">
        <v>1.688472</v>
      </c>
      <c r="G34" s="23">
        <v>11.964278999999999</v>
      </c>
      <c r="H34" s="23">
        <v>94.847885000000005</v>
      </c>
      <c r="I34" s="23"/>
      <c r="J34" s="30">
        <f>LOG(C34)</f>
        <v>-0.51419342608516949</v>
      </c>
      <c r="K34" s="24">
        <f t="shared" ref="K34" si="65">LOG(D34)</f>
        <v>-0.44163107975732929</v>
      </c>
      <c r="L34" s="24">
        <f t="shared" ref="L34" si="66">LOG(E34)</f>
        <v>-0.34911283297436663</v>
      </c>
      <c r="M34" s="24">
        <f t="shared" ref="M34" si="67">LOG(F34)</f>
        <v>0.22749386310804884</v>
      </c>
      <c r="N34" s="24">
        <f t="shared" ref="N34" si="68">LOG(G34)</f>
        <v>1.0778865319710871</v>
      </c>
      <c r="O34" s="24">
        <f t="shared" ref="O34" si="69">LOG(H34)</f>
        <v>1.9770276510594704</v>
      </c>
      <c r="P34" s="24" t="e">
        <f t="shared" ref="P34" si="70">LOG(I34)</f>
        <v>#NUM!</v>
      </c>
      <c r="Q34" s="24"/>
      <c r="R34" s="24"/>
      <c r="S34" s="24"/>
      <c r="T34" s="24"/>
      <c r="U34" s="24"/>
      <c r="V34" s="24"/>
      <c r="W34" s="24"/>
      <c r="X34" s="24"/>
      <c r="Y34" s="24"/>
      <c r="Z34" s="24">
        <f>SLOPE(M34:O34,M$32:O$32)</f>
        <v>0.96863757385842242</v>
      </c>
      <c r="AA34" s="24">
        <f>INTERCEPT(M34:O34,M$32:O$32)</f>
        <v>-9.7885263568702729</v>
      </c>
      <c r="AB34" s="32">
        <f>POWER(10,AA34)</f>
        <v>1.627322552170156E-10</v>
      </c>
      <c r="AC34" s="32">
        <f>Z34</f>
        <v>0.96863757385842242</v>
      </c>
      <c r="AD34" s="24"/>
      <c r="AF34" s="14"/>
      <c r="AG34" s="14"/>
      <c r="AH34" s="14"/>
      <c r="AI34" s="14" t="s">
        <v>45</v>
      </c>
      <c r="AJ34" s="14" t="s">
        <v>52</v>
      </c>
      <c r="AK34" s="14" t="s">
        <v>53</v>
      </c>
      <c r="AL34" s="14" t="s">
        <v>54</v>
      </c>
      <c r="AM34" s="14" t="s">
        <v>166</v>
      </c>
      <c r="AN34" s="14" t="s">
        <v>186</v>
      </c>
    </row>
    <row r="35" spans="1:40" x14ac:dyDescent="0.55000000000000004">
      <c r="A35" s="136"/>
      <c r="B35" s="25" t="s">
        <v>49</v>
      </c>
      <c r="C35" s="26">
        <v>0.34893600000000002</v>
      </c>
      <c r="D35" s="26">
        <v>0.303643</v>
      </c>
      <c r="E35" s="26">
        <v>0.39202799999999999</v>
      </c>
      <c r="F35" s="26">
        <v>1.590765</v>
      </c>
      <c r="G35" s="26">
        <v>11.042486</v>
      </c>
      <c r="H35" s="26">
        <v>91.608254000000002</v>
      </c>
      <c r="I35" s="26"/>
      <c r="J35" s="31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34"/>
      <c r="AC35" s="34"/>
      <c r="AD35" s="27"/>
      <c r="AH35" s="108" t="s">
        <v>165</v>
      </c>
      <c r="AI35" s="36">
        <f t="shared" ref="AI35:AM38" si="71">AI15/AI28</f>
        <v>5.6897554083629931</v>
      </c>
      <c r="AJ35" s="36">
        <f t="shared" si="71"/>
        <v>22.31441356510345</v>
      </c>
      <c r="AK35" s="36">
        <f t="shared" si="71"/>
        <v>5.1984210660543733</v>
      </c>
      <c r="AL35" s="36">
        <f t="shared" si="71"/>
        <v>247.60352042803598</v>
      </c>
      <c r="AM35" s="36">
        <f t="shared" si="71"/>
        <v>2663.3243480440001</v>
      </c>
      <c r="AN35" s="36">
        <f>GEOMEAN(AI35:AM35)</f>
        <v>53.425215265595206</v>
      </c>
    </row>
    <row r="36" spans="1:40" x14ac:dyDescent="0.55000000000000004">
      <c r="A36" s="136" t="s">
        <v>50</v>
      </c>
      <c r="B36" s="19" t="s">
        <v>47</v>
      </c>
      <c r="C36" s="20">
        <v>0.14740600000000001</v>
      </c>
      <c r="D36" s="20">
        <v>0.738348</v>
      </c>
      <c r="E36" s="20">
        <v>5.2467410000000001</v>
      </c>
      <c r="F36" s="20">
        <v>49.879232999999999</v>
      </c>
      <c r="G36" s="20">
        <v>405.61024400000002</v>
      </c>
      <c r="H36" s="20">
        <v>3349.0782340000001</v>
      </c>
      <c r="I36" s="20"/>
      <c r="J36" s="29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33"/>
      <c r="AC36" s="33"/>
      <c r="AD36" s="21"/>
      <c r="AH36" s="108" t="s">
        <v>84</v>
      </c>
      <c r="AI36" s="36">
        <f t="shared" si="71"/>
        <v>54.416534675695303</v>
      </c>
      <c r="AJ36" s="36">
        <f t="shared" si="71"/>
        <v>72.440421309619794</v>
      </c>
      <c r="AK36" s="36">
        <f t="shared" si="71"/>
        <v>38.855765036944469</v>
      </c>
      <c r="AL36" s="36">
        <f t="shared" si="71"/>
        <v>1364.7098011822759</v>
      </c>
      <c r="AM36" s="36">
        <f t="shared" si="71"/>
        <v>1962.123952562675</v>
      </c>
      <c r="AN36" s="36">
        <f t="shared" ref="AN36:AN37" si="72">GEOMEAN(AI36:AM36)</f>
        <v>210.17778591823171</v>
      </c>
    </row>
    <row r="37" spans="1:40" x14ac:dyDescent="0.55000000000000004">
      <c r="A37" s="136"/>
      <c r="B37" s="22" t="s">
        <v>48</v>
      </c>
      <c r="C37" s="23">
        <v>0.181616</v>
      </c>
      <c r="D37" s="23">
        <v>0.73882499999999995</v>
      </c>
      <c r="E37" s="23">
        <v>6.7982399999999998</v>
      </c>
      <c r="F37" s="23">
        <v>53.588332999999999</v>
      </c>
      <c r="G37" s="23">
        <v>438.521567</v>
      </c>
      <c r="H37" s="23">
        <v>5414.7195140000003</v>
      </c>
      <c r="I37" s="23"/>
      <c r="J37" s="30">
        <f>LOG(C37)</f>
        <v>-0.7408458936694613</v>
      </c>
      <c r="K37" s="24">
        <f t="shared" ref="K37" si="73">LOG(D37)</f>
        <v>-0.13145841753830348</v>
      </c>
      <c r="L37" s="24">
        <f t="shared" ref="L37" si="74">LOG(E37)</f>
        <v>0.83239649252650449</v>
      </c>
      <c r="M37" s="24">
        <f t="shared" ref="M37" si="75">LOG(F37)</f>
        <v>1.7290702474305935</v>
      </c>
      <c r="N37" s="24">
        <f t="shared" ref="N37" si="76">LOG(G37)</f>
        <v>2.6419909573343547</v>
      </c>
      <c r="O37" s="24">
        <f t="shared" ref="O37" si="77">LOG(H37)</f>
        <v>3.7335759648067675</v>
      </c>
      <c r="P37" s="24" t="e">
        <f t="shared" ref="P37" si="78">LOG(I37)</f>
        <v>#NUM!</v>
      </c>
      <c r="Q37" s="24"/>
      <c r="R37" s="24"/>
      <c r="S37" s="24"/>
      <c r="T37" s="24"/>
      <c r="U37" s="24"/>
      <c r="V37" s="24"/>
      <c r="W37" s="24"/>
      <c r="X37" s="24"/>
      <c r="Y37" s="24"/>
      <c r="Z37" s="24">
        <f>SLOPE(M37:O37,M$32:O$32)</f>
        <v>1.1098039764857097</v>
      </c>
      <c r="AA37" s="24">
        <f>INTERCEPT(M37:O37,M$32:O$32)</f>
        <v>-9.7671239850934555</v>
      </c>
      <c r="AB37" s="32">
        <f>POWER(10,AA37)</f>
        <v>1.7095271989467872E-10</v>
      </c>
      <c r="AC37" s="32">
        <f>Z37</f>
        <v>1.1098039764857097</v>
      </c>
      <c r="AD37" s="24"/>
      <c r="AH37" s="108" t="s">
        <v>90</v>
      </c>
      <c r="AI37" s="36">
        <f t="shared" si="71"/>
        <v>13.903467125106175</v>
      </c>
      <c r="AJ37" s="36">
        <f t="shared" si="71"/>
        <v>7.3996510581062331</v>
      </c>
      <c r="AK37" s="36">
        <f t="shared" si="71"/>
        <v>13.495719467412908</v>
      </c>
      <c r="AL37" s="36">
        <f t="shared" si="71"/>
        <v>335.57155489189813</v>
      </c>
      <c r="AM37" s="36">
        <f t="shared" si="71"/>
        <v>2573.3825238636236</v>
      </c>
      <c r="AN37" s="36">
        <f t="shared" si="72"/>
        <v>65.428049995840126</v>
      </c>
    </row>
    <row r="38" spans="1:40" x14ac:dyDescent="0.55000000000000004">
      <c r="A38" s="136"/>
      <c r="B38" s="25" t="s">
        <v>49</v>
      </c>
      <c r="C38" s="26">
        <v>0.18154500000000001</v>
      </c>
      <c r="D38" s="26">
        <v>0.68298800000000004</v>
      </c>
      <c r="E38" s="26">
        <v>4.849145</v>
      </c>
      <c r="F38" s="26">
        <v>56.361730000000001</v>
      </c>
      <c r="G38" s="26">
        <v>458.726136</v>
      </c>
      <c r="H38" s="26">
        <v>3743.2011699999998</v>
      </c>
      <c r="I38" s="26"/>
      <c r="J38" s="31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34"/>
      <c r="AC38" s="34"/>
      <c r="AD38" s="27"/>
      <c r="AH38" s="108" t="s">
        <v>217</v>
      </c>
      <c r="AI38" s="36">
        <f t="shared" si="71"/>
        <v>1.4938795485617109</v>
      </c>
      <c r="AJ38" s="36">
        <f t="shared" si="71"/>
        <v>40.236081504783016</v>
      </c>
      <c r="AK38" s="36">
        <f t="shared" si="71"/>
        <v>8.9971463116086046</v>
      </c>
      <c r="AL38" s="36">
        <f t="shared" si="71"/>
        <v>21.501573439581989</v>
      </c>
      <c r="AM38" s="36">
        <f t="shared" si="71"/>
        <v>23.485460225706813</v>
      </c>
      <c r="AN38" s="36">
        <f t="shared" ref="AN38" si="79">GEOMEAN(AI38:AM38)</f>
        <v>12.225343547548171</v>
      </c>
    </row>
    <row r="39" spans="1:40" x14ac:dyDescent="0.55000000000000004">
      <c r="A39" s="136" t="s">
        <v>51</v>
      </c>
      <c r="B39" s="19" t="s">
        <v>47</v>
      </c>
      <c r="C39" s="20">
        <v>7.9546000000000006E-2</v>
      </c>
      <c r="D39" s="20">
        <v>0.25411400000000001</v>
      </c>
      <c r="E39" s="20">
        <v>1.3856280000000001</v>
      </c>
      <c r="F39" s="20">
        <v>12.606474</v>
      </c>
      <c r="G39" s="20">
        <v>179.410595</v>
      </c>
      <c r="H39" s="20">
        <v>1949.1482530000001</v>
      </c>
      <c r="I39" s="20"/>
      <c r="J39" s="29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33"/>
      <c r="AC39" s="33"/>
      <c r="AD39" s="21"/>
      <c r="AH39" s="108" t="s">
        <v>186</v>
      </c>
      <c r="AI39" s="36">
        <f>GEOMEAN(AI35:AI38)</f>
        <v>8.9550041984666144</v>
      </c>
      <c r="AJ39" s="36">
        <f t="shared" ref="AJ39:AM39" si="80">GEOMEAN(AJ35:AJ38)</f>
        <v>26.338942926740778</v>
      </c>
      <c r="AK39" s="36">
        <f t="shared" si="80"/>
        <v>12.514310774285281</v>
      </c>
      <c r="AL39" s="36">
        <f t="shared" si="80"/>
        <v>222.20975829246959</v>
      </c>
      <c r="AM39" s="36">
        <f t="shared" si="80"/>
        <v>749.65851849311912</v>
      </c>
      <c r="AN39" s="36">
        <f>GEOMEAN(AN35:AN38)</f>
        <v>54.744379248747578</v>
      </c>
    </row>
    <row r="40" spans="1:40" x14ac:dyDescent="0.55000000000000004">
      <c r="A40" s="136"/>
      <c r="B40" s="22" t="s">
        <v>48</v>
      </c>
      <c r="C40" s="23">
        <v>8.1935999999999995E-2</v>
      </c>
      <c r="D40" s="23">
        <v>0.28932999999999998</v>
      </c>
      <c r="E40" s="23">
        <v>1.7796449999999999</v>
      </c>
      <c r="F40" s="23">
        <v>23.25291</v>
      </c>
      <c r="G40" s="23">
        <v>287.52398899999997</v>
      </c>
      <c r="H40" s="23">
        <v>2007.5101179999999</v>
      </c>
      <c r="I40" s="23"/>
      <c r="J40" s="30">
        <f>LOG(C40)</f>
        <v>-1.0865252415096791</v>
      </c>
      <c r="K40" s="24">
        <f t="shared" ref="K40" si="81">LOG(D40)</f>
        <v>-0.53860653296464078</v>
      </c>
      <c r="L40" s="24">
        <f t="shared" ref="L40" si="82">LOG(E40)</f>
        <v>0.25033337875986772</v>
      </c>
      <c r="M40" s="24">
        <f t="shared" ref="M40" si="83">LOG(F40)</f>
        <v>1.3664773106823043</v>
      </c>
      <c r="N40" s="24">
        <f t="shared" ref="N40" si="84">LOG(G40)</f>
        <v>2.4586740850454736</v>
      </c>
      <c r="O40" s="24">
        <f t="shared" ref="O40" si="85">LOG(H40)</f>
        <v>3.3026577428326584</v>
      </c>
      <c r="P40" s="24" t="e">
        <f t="shared" ref="P40" si="86">LOG(I40)</f>
        <v>#NUM!</v>
      </c>
      <c r="Q40" s="24"/>
      <c r="R40" s="24"/>
      <c r="S40" s="24"/>
      <c r="T40" s="24"/>
      <c r="U40" s="24"/>
      <c r="V40" s="24"/>
      <c r="W40" s="24"/>
      <c r="X40" s="24"/>
      <c r="Y40" s="24"/>
      <c r="Z40" s="24">
        <f>SLOPE(M40:O40,M$32:O$32)</f>
        <v>1.0719753623885691</v>
      </c>
      <c r="AA40" s="24">
        <f>INTERCEPT(M40:O40,M$32:O$32)</f>
        <v>-9.6677280983870943</v>
      </c>
      <c r="AB40" s="32">
        <f>POWER(10,AA40)</f>
        <v>2.1491756015649904E-10</v>
      </c>
      <c r="AC40" s="32">
        <f>Z40</f>
        <v>1.0719753623885691</v>
      </c>
      <c r="AD40" s="24"/>
    </row>
    <row r="41" spans="1:40" x14ac:dyDescent="0.55000000000000004">
      <c r="A41" s="136"/>
      <c r="B41" s="25" t="s">
        <v>49</v>
      </c>
      <c r="C41" s="26">
        <v>7.6797000000000004E-2</v>
      </c>
      <c r="D41" s="26">
        <v>0.26374199999999998</v>
      </c>
      <c r="E41" s="26">
        <v>1.4272</v>
      </c>
      <c r="F41" s="26">
        <v>12.319184</v>
      </c>
      <c r="G41" s="26">
        <v>174.98674099999999</v>
      </c>
      <c r="H41" s="26">
        <v>1936.20721</v>
      </c>
      <c r="I41" s="26"/>
      <c r="J41" s="31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34"/>
      <c r="AC41" s="34"/>
      <c r="AD41" s="27"/>
    </row>
    <row r="42" spans="1:40" x14ac:dyDescent="0.55000000000000004">
      <c r="A42" s="109"/>
      <c r="B42" s="118"/>
      <c r="C42" s="119"/>
      <c r="D42" s="119"/>
      <c r="E42" s="119"/>
      <c r="F42" s="119"/>
      <c r="G42" s="119"/>
      <c r="H42" s="119"/>
      <c r="I42" s="119"/>
      <c r="J42" s="105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20"/>
      <c r="AC42" s="120"/>
      <c r="AD42" s="14"/>
    </row>
    <row r="43" spans="1:40" x14ac:dyDescent="0.55000000000000004">
      <c r="A43" s="109"/>
      <c r="B43" s="22"/>
      <c r="C43" s="23"/>
      <c r="D43" s="23"/>
      <c r="E43" s="23"/>
      <c r="F43" s="23"/>
      <c r="G43" s="23"/>
      <c r="H43" s="23"/>
      <c r="I43" s="23"/>
      <c r="J43" s="122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>
        <f>Z40</f>
        <v>1.0719753623885691</v>
      </c>
      <c r="AA43" s="123">
        <f t="shared" ref="AA43:AC43" si="87">AA40</f>
        <v>-9.6677280983870943</v>
      </c>
      <c r="AB43" s="123">
        <f t="shared" si="87"/>
        <v>2.1491756015649904E-10</v>
      </c>
      <c r="AC43" s="123">
        <f t="shared" si="87"/>
        <v>1.0719753623885691</v>
      </c>
      <c r="AD43" s="123"/>
    </row>
    <row r="45" spans="1:40" x14ac:dyDescent="0.55000000000000004">
      <c r="A45" s="132" t="s">
        <v>54</v>
      </c>
      <c r="B45" s="132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7"/>
      <c r="R45" s="137"/>
      <c r="S45" s="137"/>
      <c r="T45" s="137"/>
      <c r="U45" s="137"/>
      <c r="V45" s="137"/>
      <c r="W45" s="137"/>
      <c r="X45" s="137"/>
      <c r="Y45" s="137"/>
      <c r="Z45" s="137"/>
      <c r="AA45" s="137"/>
      <c r="AB45" s="137"/>
      <c r="AC45" s="137"/>
      <c r="AD45" s="137"/>
    </row>
    <row r="46" spans="1:40" s="14" customFormat="1" ht="25.5" x14ac:dyDescent="0.55000000000000004">
      <c r="A46" s="75"/>
      <c r="B46" s="15" t="s">
        <v>167</v>
      </c>
      <c r="C46" s="94">
        <f>C$3^3</f>
        <v>2097152</v>
      </c>
      <c r="D46" s="94">
        <f t="shared" ref="D46:I46" si="88">D$3^3</f>
        <v>16777216</v>
      </c>
      <c r="E46" s="94">
        <f t="shared" si="88"/>
        <v>134217728</v>
      </c>
      <c r="F46" s="94">
        <f t="shared" si="88"/>
        <v>1073741824</v>
      </c>
      <c r="G46" s="94">
        <f t="shared" si="88"/>
        <v>8589934592</v>
      </c>
      <c r="H46" s="94">
        <f t="shared" si="88"/>
        <v>68719476736</v>
      </c>
      <c r="I46" s="94">
        <f t="shared" si="88"/>
        <v>549755813888</v>
      </c>
      <c r="J46" s="82">
        <f>LOG(C46)</f>
        <v>6.3216299089436054</v>
      </c>
      <c r="K46" s="82">
        <f t="shared" ref="K46" si="89">LOG(D46)</f>
        <v>7.2247198959355483</v>
      </c>
      <c r="L46" s="82">
        <f t="shared" ref="L46" si="90">LOG(E46)</f>
        <v>8.1278098829274921</v>
      </c>
      <c r="M46" s="82">
        <f t="shared" ref="M46" si="91">LOG(F46)</f>
        <v>9.0308998699194358</v>
      </c>
      <c r="N46" s="82">
        <f t="shared" ref="N46" si="92">LOG(G46)</f>
        <v>9.9339898569113796</v>
      </c>
      <c r="O46" s="82">
        <f t="shared" ref="O46" si="93">LOG(H46)</f>
        <v>10.837079843903323</v>
      </c>
      <c r="P46" s="82">
        <f t="shared" ref="P46" si="94">LOG(I46)</f>
        <v>11.740169830895267</v>
      </c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5"/>
      <c r="AC46" s="75"/>
      <c r="AD46" s="75"/>
    </row>
    <row r="47" spans="1:40" x14ac:dyDescent="0.55000000000000004">
      <c r="A47" s="136" t="s">
        <v>46</v>
      </c>
      <c r="B47" s="19" t="s">
        <v>47</v>
      </c>
      <c r="C47" s="20">
        <v>7.8299999999999995E-4</v>
      </c>
      <c r="D47" s="20">
        <v>1.2244E-2</v>
      </c>
      <c r="E47" s="20">
        <v>0.14027300000000001</v>
      </c>
      <c r="F47" s="20">
        <v>2.5401699999999998</v>
      </c>
      <c r="G47" s="20">
        <v>24.901585000000001</v>
      </c>
      <c r="H47" s="20"/>
      <c r="I47" s="20"/>
      <c r="J47" s="29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33"/>
      <c r="AC47" s="33"/>
      <c r="AD47" s="21"/>
    </row>
    <row r="48" spans="1:40" x14ac:dyDescent="0.55000000000000004">
      <c r="A48" s="136"/>
      <c r="B48" s="22" t="s">
        <v>48</v>
      </c>
      <c r="C48" s="23">
        <v>1.2589999999999999E-3</v>
      </c>
      <c r="D48" s="23">
        <v>1.4064999999999999E-2</v>
      </c>
      <c r="E48" s="23">
        <v>0.25083100000000003</v>
      </c>
      <c r="F48" s="23">
        <v>2.6983630000000001</v>
      </c>
      <c r="G48" s="23">
        <v>34.589503000000001</v>
      </c>
      <c r="H48" s="23"/>
      <c r="I48" s="23"/>
      <c r="J48" s="30">
        <f>LOG(C48)</f>
        <v>-2.8999742698921374</v>
      </c>
      <c r="K48" s="24">
        <f t="shared" ref="K48" si="95">LOG(D48)</f>
        <v>-1.8518602634987802</v>
      </c>
      <c r="L48" s="24">
        <f t="shared" ref="L48" si="96">LOG(E48)</f>
        <v>-0.60061879042124089</v>
      </c>
      <c r="M48" s="24">
        <f t="shared" ref="M48" si="97">LOG(F48)</f>
        <v>0.4311003731685456</v>
      </c>
      <c r="N48" s="24">
        <f t="shared" ref="N48" si="98">LOG(G48)</f>
        <v>1.5389443218898116</v>
      </c>
      <c r="O48" s="24" t="e">
        <f t="shared" ref="O48" si="99">LOG(H48)</f>
        <v>#NUM!</v>
      </c>
      <c r="P48" s="24" t="e">
        <f t="shared" ref="P48" si="100">LOG(I48)</f>
        <v>#NUM!</v>
      </c>
      <c r="Q48" s="24"/>
      <c r="R48" s="24"/>
      <c r="S48" s="24"/>
      <c r="T48" s="24"/>
      <c r="U48" s="24"/>
      <c r="V48" s="24"/>
      <c r="W48" s="24"/>
      <c r="X48" s="24"/>
      <c r="Y48" s="24"/>
      <c r="Z48" s="24">
        <f>SLOPE(M48:N48,M$46:N$46)</f>
        <v>1.2267259793360423</v>
      </c>
      <c r="AA48" s="24">
        <f>INTERCEPT(M48:N48,M$46:N$46)</f>
        <v>-10.647339114044112</v>
      </c>
      <c r="AB48" s="32">
        <f>POWER(10,AA48)</f>
        <v>2.2524797014258458E-11</v>
      </c>
      <c r="AC48" s="32">
        <f>Z48</f>
        <v>1.2267259793360423</v>
      </c>
      <c r="AD48" s="24"/>
    </row>
    <row r="49" spans="1:30" x14ac:dyDescent="0.55000000000000004">
      <c r="A49" s="136"/>
      <c r="B49" s="25" t="s">
        <v>49</v>
      </c>
      <c r="C49" s="26">
        <v>7.2800000000000002E-4</v>
      </c>
      <c r="D49" s="26">
        <v>1.2211E-2</v>
      </c>
      <c r="E49" s="26">
        <v>0.13062599999999999</v>
      </c>
      <c r="F49" s="26">
        <v>2.5443989999999999</v>
      </c>
      <c r="G49" s="26">
        <v>23.907812</v>
      </c>
      <c r="H49" s="26"/>
      <c r="I49" s="26"/>
      <c r="J49" s="31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34"/>
      <c r="AC49" s="34"/>
      <c r="AD49" s="27"/>
    </row>
    <row r="50" spans="1:30" x14ac:dyDescent="0.55000000000000004">
      <c r="A50" s="136" t="s">
        <v>50</v>
      </c>
      <c r="B50" s="19" t="s">
        <v>47</v>
      </c>
      <c r="C50" s="20">
        <v>1.2385E-2</v>
      </c>
      <c r="D50" s="20">
        <v>0.11175499999999999</v>
      </c>
      <c r="E50" s="20">
        <v>5.5743090000000004</v>
      </c>
      <c r="F50" s="20">
        <v>118.25386</v>
      </c>
      <c r="G50" s="20">
        <v>1577.129518</v>
      </c>
      <c r="H50" s="20"/>
      <c r="I50" s="20"/>
      <c r="J50" s="29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33"/>
      <c r="AC50" s="33"/>
      <c r="AD50" s="21"/>
    </row>
    <row r="51" spans="1:30" x14ac:dyDescent="0.55000000000000004">
      <c r="A51" s="136"/>
      <c r="B51" s="22" t="s">
        <v>48</v>
      </c>
      <c r="C51" s="23">
        <v>1.3471E-2</v>
      </c>
      <c r="D51" s="23">
        <v>0.41451500000000002</v>
      </c>
      <c r="E51" s="23">
        <v>6.6618519999999997</v>
      </c>
      <c r="F51" s="23">
        <v>193.143238</v>
      </c>
      <c r="G51" s="23">
        <v>1851.9594279999999</v>
      </c>
      <c r="H51" s="23"/>
      <c r="I51" s="23"/>
      <c r="J51" s="30">
        <f>LOG(C51)</f>
        <v>-1.8706001638641045</v>
      </c>
      <c r="K51" s="24">
        <f t="shared" ref="K51" si="101">LOG(D51)</f>
        <v>-0.38245974907182839</v>
      </c>
      <c r="L51" s="24">
        <f t="shared" ref="L51" si="102">LOG(E51)</f>
        <v>0.82359498015682553</v>
      </c>
      <c r="M51" s="24">
        <f t="shared" ref="M51" si="103">LOG(F51)</f>
        <v>2.2858795079729779</v>
      </c>
      <c r="N51" s="24">
        <f t="shared" ref="N51" si="104">LOG(G51)</f>
        <v>3.267631468097143</v>
      </c>
      <c r="O51" s="24" t="e">
        <f t="shared" ref="O51" si="105">LOG(H51)</f>
        <v>#NUM!</v>
      </c>
      <c r="P51" s="24" t="e">
        <f t="shared" ref="P51" si="106">LOG(I51)</f>
        <v>#NUM!</v>
      </c>
      <c r="Q51" s="24"/>
      <c r="R51" s="24"/>
      <c r="S51" s="24"/>
      <c r="T51" s="24"/>
      <c r="U51" s="24"/>
      <c r="V51" s="24"/>
      <c r="W51" s="24"/>
      <c r="X51" s="24"/>
      <c r="Y51" s="24"/>
      <c r="Z51" s="24">
        <f>SLOPE(M51:N51,M$46:N$46)</f>
        <v>1.0871031395157336</v>
      </c>
      <c r="AA51" s="24">
        <f>INTERCEPT(M51:N51,M$46:N$46)</f>
        <v>-7.5316400932686705</v>
      </c>
      <c r="AB51" s="32">
        <f>POWER(10,AA51)</f>
        <v>2.9400851378851525E-8</v>
      </c>
      <c r="AC51" s="32">
        <f>Z51</f>
        <v>1.0871031395157336</v>
      </c>
      <c r="AD51" s="24"/>
    </row>
    <row r="52" spans="1:30" x14ac:dyDescent="0.55000000000000004">
      <c r="A52" s="136"/>
      <c r="B52" s="25" t="s">
        <v>49</v>
      </c>
      <c r="C52" s="26">
        <v>1.2442E-2</v>
      </c>
      <c r="D52" s="26">
        <v>0.115333</v>
      </c>
      <c r="E52" s="26">
        <v>5.6723939999999997</v>
      </c>
      <c r="F52" s="26">
        <v>117.888159</v>
      </c>
      <c r="G52" s="26">
        <v>1543.4325289999999</v>
      </c>
      <c r="H52" s="26"/>
      <c r="I52" s="26"/>
      <c r="J52" s="31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34"/>
      <c r="AC52" s="34"/>
      <c r="AD52" s="27"/>
    </row>
    <row r="53" spans="1:30" x14ac:dyDescent="0.55000000000000004">
      <c r="A53" s="136" t="s">
        <v>51</v>
      </c>
      <c r="B53" s="19" t="s">
        <v>47</v>
      </c>
      <c r="C53" s="20">
        <v>1.4899000000000001E-2</v>
      </c>
      <c r="D53" s="20">
        <v>9.7066E-2</v>
      </c>
      <c r="E53" s="20">
        <v>0.79587600000000003</v>
      </c>
      <c r="F53" s="20">
        <v>26.39443</v>
      </c>
      <c r="G53" s="20">
        <v>253.039772</v>
      </c>
      <c r="H53" s="20"/>
      <c r="I53" s="20"/>
      <c r="J53" s="29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33"/>
      <c r="AC53" s="33"/>
      <c r="AD53" s="21"/>
    </row>
    <row r="54" spans="1:30" x14ac:dyDescent="0.55000000000000004">
      <c r="A54" s="136"/>
      <c r="B54" s="22" t="s">
        <v>48</v>
      </c>
      <c r="C54" s="23">
        <v>1.1788E-2</v>
      </c>
      <c r="D54" s="23">
        <v>9.9834999999999993E-2</v>
      </c>
      <c r="E54" s="23">
        <v>1.3544259999999999</v>
      </c>
      <c r="F54" s="23">
        <v>32.224117</v>
      </c>
      <c r="G54" s="23">
        <v>420.628175</v>
      </c>
      <c r="H54" s="23"/>
      <c r="I54" s="23"/>
      <c r="J54" s="30">
        <f>LOG(C54)</f>
        <v>-1.9285598728221125</v>
      </c>
      <c r="K54" s="24">
        <f t="shared" ref="K54" si="107">LOG(D54)</f>
        <v>-1.0007171777296113</v>
      </c>
      <c r="L54" s="24">
        <f t="shared" ref="L54" si="108">LOG(E54)</f>
        <v>0.13175528203837852</v>
      </c>
      <c r="M54" s="24">
        <f t="shared" ref="M54" si="109">LOG(F54)</f>
        <v>1.5081810257219022</v>
      </c>
      <c r="N54" s="24">
        <f t="shared" ref="N54" si="110">LOG(G54)</f>
        <v>2.6238983597369101</v>
      </c>
      <c r="O54" s="24" t="e">
        <f t="shared" ref="O54" si="111">LOG(H54)</f>
        <v>#NUM!</v>
      </c>
      <c r="P54" s="24" t="e">
        <f t="shared" ref="P54" si="112">LOG(I54)</f>
        <v>#NUM!</v>
      </c>
      <c r="Q54" s="24"/>
      <c r="R54" s="24"/>
      <c r="S54" s="24"/>
      <c r="T54" s="24"/>
      <c r="U54" s="24"/>
      <c r="V54" s="24"/>
      <c r="W54" s="24"/>
      <c r="X54" s="24"/>
      <c r="Y54" s="24"/>
      <c r="Z54" s="24">
        <f>SLOPE(M54:N54,M$46:N$46)</f>
        <v>1.2354442526057605</v>
      </c>
      <c r="AA54" s="24">
        <f>INTERCEPT(M54:N54,M$46:N$46)</f>
        <v>-9.6489923144281757</v>
      </c>
      <c r="AB54" s="32">
        <f>POWER(10,AA54)</f>
        <v>2.2439216334014784E-10</v>
      </c>
      <c r="AC54" s="32">
        <f>Z54</f>
        <v>1.2354442526057605</v>
      </c>
      <c r="AD54" s="24"/>
    </row>
    <row r="55" spans="1:30" x14ac:dyDescent="0.55000000000000004">
      <c r="A55" s="136"/>
      <c r="B55" s="25" t="s">
        <v>49</v>
      </c>
      <c r="C55" s="26">
        <v>9.3019999999999995E-3</v>
      </c>
      <c r="D55" s="26">
        <v>9.8934999999999995E-2</v>
      </c>
      <c r="E55" s="26">
        <v>0.80627400000000005</v>
      </c>
      <c r="F55" s="26">
        <v>25.606470999999999</v>
      </c>
      <c r="G55" s="26">
        <v>233.27407099999999</v>
      </c>
      <c r="H55" s="26"/>
      <c r="I55" s="26"/>
      <c r="J55" s="31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34"/>
      <c r="AC55" s="34"/>
      <c r="AD55" s="27"/>
    </row>
    <row r="56" spans="1:30" x14ac:dyDescent="0.55000000000000004">
      <c r="A56" s="15" t="s">
        <v>216</v>
      </c>
      <c r="B56" s="15" t="s">
        <v>47</v>
      </c>
      <c r="C56" s="127">
        <v>1.4E-2</v>
      </c>
      <c r="D56" s="127">
        <v>0.11799999999999999</v>
      </c>
      <c r="E56" s="127">
        <v>1.02</v>
      </c>
      <c r="F56" s="127">
        <v>8.1300000000000008</v>
      </c>
      <c r="G56" s="127">
        <v>65.5</v>
      </c>
      <c r="H56" s="26"/>
      <c r="I56" s="26"/>
      <c r="J56" s="30">
        <f>LOG(C56)</f>
        <v>-1.853871964321762</v>
      </c>
      <c r="K56" s="24">
        <f t="shared" ref="K56" si="113">LOG(D56)</f>
        <v>-0.92811799269387463</v>
      </c>
      <c r="L56" s="24">
        <f t="shared" ref="L56" si="114">LOG(E56)</f>
        <v>8.6001717619175692E-3</v>
      </c>
      <c r="M56" s="24">
        <f t="shared" ref="M56" si="115">LOG(F56)</f>
        <v>0.91009054559406821</v>
      </c>
      <c r="N56" s="24">
        <f t="shared" ref="N56" si="116">LOG(G56)</f>
        <v>1.816241299991783</v>
      </c>
      <c r="O56" s="24" t="e">
        <f t="shared" ref="O56" si="117">LOG(H56)</f>
        <v>#NUM!</v>
      </c>
      <c r="P56" s="24" t="e">
        <f t="shared" ref="P56" si="118">LOG(I56)</f>
        <v>#NUM!</v>
      </c>
      <c r="Q56" s="27"/>
      <c r="R56" s="27"/>
      <c r="S56" s="27"/>
      <c r="T56" s="27"/>
      <c r="U56" s="27"/>
      <c r="V56" s="27"/>
      <c r="W56" s="27"/>
      <c r="X56" s="27"/>
      <c r="Y56" s="27"/>
      <c r="Z56" s="24">
        <f>SLOPE(M56:N56,M$46:N$46)</f>
        <v>1.0033892164123821</v>
      </c>
      <c r="AA56" s="24">
        <f>INTERCEPT(M56:N56,M$46:N$46)</f>
        <v>-8.1514169983830786</v>
      </c>
      <c r="AB56" s="32">
        <f>POWER(10,AA56)</f>
        <v>7.0563969181260902E-9</v>
      </c>
      <c r="AC56" s="32">
        <f>Z56</f>
        <v>1.0033892164123821</v>
      </c>
      <c r="AD56" s="27"/>
    </row>
    <row r="57" spans="1:30" x14ac:dyDescent="0.55000000000000004">
      <c r="A57" s="109"/>
      <c r="B57" s="25"/>
      <c r="C57" s="26"/>
      <c r="D57" s="26"/>
      <c r="E57" s="26"/>
      <c r="F57" s="26"/>
      <c r="G57" s="26"/>
      <c r="H57" s="26"/>
      <c r="I57" s="26"/>
      <c r="J57" s="31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34"/>
      <c r="AC57" s="34"/>
      <c r="AD57" s="27"/>
    </row>
    <row r="59" spans="1:30" x14ac:dyDescent="0.55000000000000004">
      <c r="A59" s="137" t="s">
        <v>55</v>
      </c>
      <c r="B59" s="137"/>
      <c r="C59" s="137"/>
      <c r="D59" s="137"/>
      <c r="E59" s="137"/>
      <c r="F59" s="137"/>
      <c r="G59" s="137"/>
      <c r="H59" s="137"/>
      <c r="I59" s="137"/>
      <c r="J59" s="137"/>
      <c r="K59" s="137"/>
      <c r="L59" s="137"/>
      <c r="M59" s="137"/>
      <c r="N59" s="137"/>
      <c r="O59" s="137"/>
      <c r="P59" s="137"/>
      <c r="Q59" s="137"/>
      <c r="R59" s="137"/>
      <c r="S59" s="137"/>
      <c r="T59" s="137"/>
      <c r="U59" s="137"/>
      <c r="V59" s="137"/>
      <c r="W59" s="137"/>
      <c r="X59" s="137"/>
      <c r="Y59" s="137"/>
      <c r="Z59" s="137"/>
      <c r="AA59" s="137"/>
      <c r="AB59" s="137"/>
      <c r="AC59" s="137"/>
      <c r="AD59" s="137"/>
    </row>
    <row r="60" spans="1:30" s="14" customFormat="1" ht="25.5" x14ac:dyDescent="0.55000000000000004">
      <c r="A60" s="75"/>
      <c r="B60" s="15" t="s">
        <v>167</v>
      </c>
      <c r="C60" s="94">
        <f>2*C$3^2*LOG(C$3,2)</f>
        <v>229376</v>
      </c>
      <c r="D60" s="94">
        <f t="shared" ref="D60:I60" si="119">2*D$3^2*LOG(D$3,2)</f>
        <v>1048576</v>
      </c>
      <c r="E60" s="94">
        <f t="shared" si="119"/>
        <v>4718592</v>
      </c>
      <c r="F60" s="94">
        <f t="shared" si="119"/>
        <v>20971520</v>
      </c>
      <c r="G60" s="94">
        <f t="shared" si="119"/>
        <v>92274688</v>
      </c>
      <c r="H60" s="94">
        <f t="shared" si="119"/>
        <v>402653184</v>
      </c>
      <c r="I60" s="94">
        <f t="shared" si="119"/>
        <v>1744830464</v>
      </c>
      <c r="J60" s="82">
        <f>LOG(C60)</f>
        <v>5.3605479749739748</v>
      </c>
      <c r="K60" s="82">
        <f t="shared" ref="K60" si="120">LOG(D60)</f>
        <v>6.0205999132796242</v>
      </c>
      <c r="L60" s="82">
        <f t="shared" ref="L60" si="121">LOG(E60)</f>
        <v>6.6738124270549672</v>
      </c>
      <c r="M60" s="82">
        <f t="shared" ref="M60" si="122">LOG(F60)</f>
        <v>7.3216299089436054</v>
      </c>
      <c r="N60" s="82">
        <f t="shared" ref="N60" si="123">LOG(G60)</f>
        <v>7.9650825854297924</v>
      </c>
      <c r="O60" s="82">
        <f t="shared" ref="O60" si="124">LOG(H60)</f>
        <v>8.6049311376471547</v>
      </c>
      <c r="P60" s="82">
        <f t="shared" ref="P60" si="125">LOG(I60)</f>
        <v>9.241753235234329</v>
      </c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5"/>
      <c r="AD60" s="75"/>
    </row>
    <row r="61" spans="1:30" x14ac:dyDescent="0.55000000000000004">
      <c r="A61" s="136" t="s">
        <v>46</v>
      </c>
      <c r="B61" s="19" t="s">
        <v>47</v>
      </c>
      <c r="C61" s="20">
        <v>3.4600000000000001E-4</v>
      </c>
      <c r="D61" s="20">
        <v>1.593E-3</v>
      </c>
      <c r="E61" s="20">
        <v>1.3422999999999999E-2</v>
      </c>
      <c r="F61" s="20">
        <v>6.6612000000000005E-2</v>
      </c>
      <c r="G61" s="20">
        <v>0.354877</v>
      </c>
      <c r="H61" s="20">
        <v>2.829002</v>
      </c>
      <c r="I61" s="20">
        <v>12.893858</v>
      </c>
      <c r="J61" s="29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33"/>
      <c r="AC61" s="33"/>
      <c r="AD61" s="21"/>
    </row>
    <row r="62" spans="1:30" x14ac:dyDescent="0.55000000000000004">
      <c r="A62" s="136"/>
      <c r="B62" s="22" t="s">
        <v>48</v>
      </c>
      <c r="C62" s="23">
        <v>3.7500000000000001E-4</v>
      </c>
      <c r="D62" s="23">
        <v>2.3370000000000001E-3</v>
      </c>
      <c r="E62" s="23">
        <v>1.6059E-2</v>
      </c>
      <c r="F62" s="23">
        <v>7.9160999999999995E-2</v>
      </c>
      <c r="G62" s="23">
        <v>0.51426799999999995</v>
      </c>
      <c r="H62" s="23">
        <v>2.5472389999999998</v>
      </c>
      <c r="I62" s="23">
        <v>15.939947999999999</v>
      </c>
      <c r="J62" s="30">
        <f>LOG(C62)</f>
        <v>-3.4259687322722812</v>
      </c>
      <c r="K62" s="24">
        <f t="shared" ref="K62" si="126">LOG(D62)</f>
        <v>-2.6313412876077731</v>
      </c>
      <c r="L62" s="24">
        <f t="shared" ref="L62" si="127">LOG(E62)</f>
        <v>-1.7942815018969058</v>
      </c>
      <c r="M62" s="24">
        <f t="shared" ref="M62" si="128">LOG(F62)</f>
        <v>-1.1014887282132566</v>
      </c>
      <c r="N62" s="24">
        <f t="shared" ref="N62" si="129">LOG(G62)</f>
        <v>-0.28881049853675772</v>
      </c>
      <c r="O62" s="24">
        <f t="shared" ref="O62" si="130">LOG(H62)</f>
        <v>0.4060696954589299</v>
      </c>
      <c r="P62" s="24">
        <f t="shared" ref="P62" si="131">LOG(I62)</f>
        <v>1.2024869002878291</v>
      </c>
      <c r="Q62" s="24"/>
      <c r="R62" s="24"/>
      <c r="S62" s="24"/>
      <c r="T62" s="24"/>
      <c r="U62" s="24"/>
      <c r="V62" s="24"/>
      <c r="W62" s="24"/>
      <c r="X62" s="24"/>
      <c r="Y62" s="24"/>
      <c r="Z62" s="24">
        <f>SLOPE(M62:O62,M$60:O$60)</f>
        <v>1.1748330818851718</v>
      </c>
      <c r="AA62" s="24">
        <f>INTERCEPT(M62:O62,M$60:O$60)</f>
        <v>-9.684307616933344</v>
      </c>
      <c r="AB62" s="32">
        <f>POWER(10,AA62)</f>
        <v>2.0686755575316296E-10</v>
      </c>
      <c r="AC62" s="32">
        <f>Z62</f>
        <v>1.1748330818851718</v>
      </c>
      <c r="AD62" s="24"/>
    </row>
    <row r="63" spans="1:30" x14ac:dyDescent="0.55000000000000004">
      <c r="A63" s="15"/>
      <c r="B63" s="25"/>
      <c r="C63" s="26"/>
      <c r="D63" s="26"/>
      <c r="E63" s="26"/>
      <c r="F63" s="26"/>
      <c r="G63" s="26"/>
      <c r="H63" s="26"/>
      <c r="I63" s="26"/>
      <c r="J63" s="31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34"/>
      <c r="AC63" s="34"/>
      <c r="AD63" s="27"/>
    </row>
    <row r="64" spans="1:30" x14ac:dyDescent="0.55000000000000004">
      <c r="A64" s="136" t="s">
        <v>50</v>
      </c>
      <c r="B64" s="19" t="s">
        <v>47</v>
      </c>
      <c r="C64" s="20">
        <v>3.8479999999999999E-3</v>
      </c>
      <c r="D64" s="20">
        <v>4.6219999999999997E-2</v>
      </c>
      <c r="E64" s="20">
        <v>0.26691100000000001</v>
      </c>
      <c r="F64" s="20">
        <v>2.3895360000000001</v>
      </c>
      <c r="G64" s="20">
        <v>11.702482</v>
      </c>
      <c r="H64" s="20">
        <v>55.552166999999997</v>
      </c>
      <c r="I64" s="20">
        <v>290.44165500000003</v>
      </c>
      <c r="J64" s="29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33"/>
      <c r="AC64" s="33"/>
      <c r="AD64" s="21"/>
    </row>
    <row r="65" spans="1:30" x14ac:dyDescent="0.55000000000000004">
      <c r="A65" s="136"/>
      <c r="B65" s="22" t="s">
        <v>48</v>
      </c>
      <c r="C65" s="23">
        <v>4.4520000000000002E-3</v>
      </c>
      <c r="D65" s="23">
        <v>5.9272999999999999E-2</v>
      </c>
      <c r="E65" s="23">
        <v>0.542516</v>
      </c>
      <c r="F65" s="23">
        <v>2.6696300000000002</v>
      </c>
      <c r="G65" s="23">
        <v>12.722059</v>
      </c>
      <c r="H65" s="23">
        <v>66.890766999999997</v>
      </c>
      <c r="I65" s="23">
        <v>321.97447399999999</v>
      </c>
      <c r="J65" s="30">
        <f>LOG(C65)</f>
        <v>-2.3514448443373293</v>
      </c>
      <c r="K65" s="24">
        <f t="shared" ref="K65" si="132">LOG(D65)</f>
        <v>-1.2271430911434087</v>
      </c>
      <c r="L65" s="24">
        <f t="shared" ref="L65" si="133">LOG(E65)</f>
        <v>-0.26558744898313247</v>
      </c>
      <c r="M65" s="24">
        <f t="shared" ref="M65" si="134">LOG(F65)</f>
        <v>0.42645107406374677</v>
      </c>
      <c r="N65" s="24">
        <f t="shared" ref="N65" si="135">LOG(G65)</f>
        <v>1.1045574053353899</v>
      </c>
      <c r="O65" s="24">
        <f t="shared" ref="O65" si="136">LOG(H65)</f>
        <v>1.8253661757995141</v>
      </c>
      <c r="P65" s="24">
        <f t="shared" ref="P65" si="137">LOG(I65)</f>
        <v>2.5078214423779048</v>
      </c>
      <c r="Q65" s="24"/>
      <c r="R65" s="24"/>
      <c r="S65" s="24"/>
      <c r="T65" s="24"/>
      <c r="U65" s="24"/>
      <c r="V65" s="24"/>
      <c r="W65" s="24"/>
      <c r="X65" s="24"/>
      <c r="Y65" s="24"/>
      <c r="Z65" s="24">
        <f>SLOPE(M65:O65,M$60:O$60)</f>
        <v>1.0900569689003936</v>
      </c>
      <c r="AA65" s="24">
        <f>INTERCEPT(M65:O65,M$60:O$60)</f>
        <v>-7.5622926614566879</v>
      </c>
      <c r="AB65" s="32">
        <f>POWER(10,AA65)</f>
        <v>2.7397273080120338E-8</v>
      </c>
      <c r="AC65" s="32">
        <f>Z65</f>
        <v>1.0900569689003936</v>
      </c>
      <c r="AD65" s="24"/>
    </row>
    <row r="66" spans="1:30" x14ac:dyDescent="0.55000000000000004">
      <c r="A66" s="136" t="s">
        <v>51</v>
      </c>
      <c r="B66" s="25"/>
      <c r="C66" s="26"/>
      <c r="D66" s="26"/>
      <c r="E66" s="26"/>
      <c r="F66" s="26"/>
      <c r="G66" s="26"/>
      <c r="H66" s="26"/>
      <c r="I66" s="26"/>
      <c r="J66" s="31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34"/>
      <c r="AC66" s="34"/>
      <c r="AD66" s="27"/>
    </row>
    <row r="67" spans="1:30" x14ac:dyDescent="0.55000000000000004">
      <c r="A67" s="136"/>
      <c r="B67" s="19" t="s">
        <v>47</v>
      </c>
      <c r="C67" s="20">
        <v>1.4350000000000001E-3</v>
      </c>
      <c r="D67" s="20">
        <v>6.1330000000000004E-3</v>
      </c>
      <c r="E67" s="20">
        <v>5.8639999999999998E-2</v>
      </c>
      <c r="F67" s="20">
        <v>0.77674799999999999</v>
      </c>
      <c r="G67" s="20">
        <v>5.5352290000000002</v>
      </c>
      <c r="H67" s="20">
        <v>29.757833999999999</v>
      </c>
      <c r="I67" s="20">
        <v>147.452134</v>
      </c>
      <c r="J67" s="29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33"/>
      <c r="AC67" s="33"/>
      <c r="AD67" s="21"/>
    </row>
    <row r="68" spans="1:30" x14ac:dyDescent="0.55000000000000004">
      <c r="A68" s="136"/>
      <c r="B68" s="22" t="s">
        <v>48</v>
      </c>
      <c r="C68" s="23">
        <v>1.4499999999999999E-3</v>
      </c>
      <c r="D68" s="23">
        <v>6.9129999999999999E-3</v>
      </c>
      <c r="E68" s="23">
        <v>0.10397000000000001</v>
      </c>
      <c r="F68" s="23">
        <v>1.0496030000000001</v>
      </c>
      <c r="G68" s="23">
        <v>4.4782330000000004</v>
      </c>
      <c r="H68" s="23">
        <v>20.898824999999999</v>
      </c>
      <c r="I68" s="23">
        <v>110.64792300000001</v>
      </c>
      <c r="J68" s="30">
        <f>LOG(C68)</f>
        <v>-2.8386319977650252</v>
      </c>
      <c r="K68" s="24">
        <f t="shared" ref="K68" si="138">LOG(D68)</f>
        <v>-2.1603334431175667</v>
      </c>
      <c r="L68" s="24">
        <f t="shared" ref="L68" si="139">LOG(E68)</f>
        <v>-0.9830919560279251</v>
      </c>
      <c r="M68" s="24">
        <f t="shared" ref="M68" si="140">LOG(F68)</f>
        <v>2.1025063344069592E-2</v>
      </c>
      <c r="N68" s="24">
        <f t="shared" ref="N68" si="141">LOG(G68)</f>
        <v>0.65110668593389842</v>
      </c>
      <c r="O68" s="24">
        <f t="shared" ref="O68" si="142">LOG(H68)</f>
        <v>1.3201218693473593</v>
      </c>
      <c r="P68" s="24">
        <f t="shared" ref="P68" si="143">LOG(I68)</f>
        <v>2.0439432660888079</v>
      </c>
      <c r="Q68" s="24"/>
      <c r="R68" s="24"/>
      <c r="S68" s="24"/>
      <c r="T68" s="24"/>
      <c r="U68" s="24"/>
      <c r="V68" s="24"/>
      <c r="W68" s="24"/>
      <c r="X68" s="24"/>
      <c r="Y68" s="24"/>
      <c r="Z68" s="24">
        <f>SLOPE(M68:O68,M$60:O$60)</f>
        <v>1.0122774867355249</v>
      </c>
      <c r="AA68" s="24">
        <f>INTERCEPT(M68:O68,M$60:O$60)</f>
        <v>-7.3975731170590819</v>
      </c>
      <c r="AB68" s="32">
        <f>POWER(10,AA68)</f>
        <v>4.0033806244082011E-8</v>
      </c>
      <c r="AC68" s="32">
        <f>Z68</f>
        <v>1.0122774867355249</v>
      </c>
      <c r="AD68" s="24"/>
    </row>
    <row r="69" spans="1:30" x14ac:dyDescent="0.55000000000000004">
      <c r="B69" s="25"/>
      <c r="C69" s="26"/>
      <c r="D69" s="26"/>
      <c r="E69" s="26"/>
      <c r="F69" s="26"/>
      <c r="G69" s="26"/>
      <c r="H69" s="26"/>
      <c r="I69" s="26"/>
      <c r="J69" s="31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34"/>
      <c r="AC69" s="34"/>
      <c r="AD69" s="27"/>
    </row>
    <row r="70" spans="1:30" x14ac:dyDescent="0.55000000000000004">
      <c r="A70" s="15" t="s">
        <v>216</v>
      </c>
      <c r="B70" s="15" t="s">
        <v>47</v>
      </c>
      <c r="C70" s="94">
        <v>3.1100000000000002E-4</v>
      </c>
      <c r="D70" s="94">
        <v>1.0300000000000001E-3</v>
      </c>
      <c r="E70" s="94">
        <v>3.7529999999999998E-3</v>
      </c>
      <c r="F70" s="94">
        <v>1.5089E-2</v>
      </c>
      <c r="G70" s="94">
        <v>6.5434999999999993E-2</v>
      </c>
      <c r="J70" s="30">
        <f>LOG(C70)</f>
        <v>-3.5072396109731625</v>
      </c>
      <c r="K70" s="24">
        <f t="shared" ref="K70" si="144">LOG(D70)</f>
        <v>-2.9871627752948275</v>
      </c>
      <c r="L70" s="24">
        <f t="shared" ref="L70" si="145">LOG(E70)</f>
        <v>-2.4256214355869177</v>
      </c>
      <c r="M70" s="24">
        <f t="shared" ref="M70" si="146">LOG(F70)</f>
        <v>-1.821339541461831</v>
      </c>
      <c r="N70" s="24">
        <f t="shared" ref="N70" si="147">LOG(G70)</f>
        <v>-1.1841898932513173</v>
      </c>
      <c r="Z70" s="24">
        <f>SLOPE(M70:O70,M$60:O$60)</f>
        <v>0.99020436388563426</v>
      </c>
      <c r="AA70" s="24">
        <f>INTERCEPT(M70:O70,M$60:O$60)</f>
        <v>-9.0712494280533669</v>
      </c>
      <c r="AB70" s="32">
        <f>POWER(10,AA70)</f>
        <v>8.4869290581973724E-10</v>
      </c>
      <c r="AC70" s="32">
        <f>Z70</f>
        <v>0.99020436388563426</v>
      </c>
    </row>
    <row r="74" spans="1:30" x14ac:dyDescent="0.55000000000000004">
      <c r="C74" s="82"/>
      <c r="D74" s="79"/>
      <c r="E74" s="79"/>
      <c r="F74" s="79"/>
      <c r="G74" s="80"/>
    </row>
  </sheetData>
  <mergeCells count="35">
    <mergeCell ref="Q31:AD31"/>
    <mergeCell ref="Q45:AD45"/>
    <mergeCell ref="AG11:AG12"/>
    <mergeCell ref="Q59:AD59"/>
    <mergeCell ref="A61:A62"/>
    <mergeCell ref="A64:A65"/>
    <mergeCell ref="A66:A68"/>
    <mergeCell ref="A1:I1"/>
    <mergeCell ref="A2:P2"/>
    <mergeCell ref="A17:P17"/>
    <mergeCell ref="A31:P31"/>
    <mergeCell ref="A45:P45"/>
    <mergeCell ref="A59:P59"/>
    <mergeCell ref="J1:P1"/>
    <mergeCell ref="A33:A35"/>
    <mergeCell ref="A36:A38"/>
    <mergeCell ref="A39:A41"/>
    <mergeCell ref="A47:A49"/>
    <mergeCell ref="A50:A52"/>
    <mergeCell ref="A53:A55"/>
    <mergeCell ref="AF9:AF10"/>
    <mergeCell ref="AH1:AJ1"/>
    <mergeCell ref="A25:A27"/>
    <mergeCell ref="A5:A7"/>
    <mergeCell ref="A8:A10"/>
    <mergeCell ref="A11:A13"/>
    <mergeCell ref="A19:A21"/>
    <mergeCell ref="A22:A24"/>
    <mergeCell ref="Q2:AD2"/>
    <mergeCell ref="Q17:AD17"/>
    <mergeCell ref="AG5:AG6"/>
    <mergeCell ref="AG7:AG8"/>
    <mergeCell ref="AG9:AG10"/>
    <mergeCell ref="AG3:AO3"/>
    <mergeCell ref="AG13:AM13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DADB4-257F-4F72-A1D8-5D4A855949D0}">
  <dimension ref="A1:Q22"/>
  <sheetViews>
    <sheetView topLeftCell="A12" workbookViewId="0">
      <selection activeCell="C54" sqref="C54"/>
    </sheetView>
  </sheetViews>
  <sheetFormatPr defaultRowHeight="14.4" x14ac:dyDescent="0.55000000000000004"/>
  <cols>
    <col min="9" max="9" width="13.15625" customWidth="1"/>
    <col min="13" max="13" width="11.68359375" bestFit="1" customWidth="1"/>
  </cols>
  <sheetData>
    <row r="1" spans="1:17" ht="74.7" x14ac:dyDescent="0.55000000000000004">
      <c r="A1" s="35" t="s">
        <v>62</v>
      </c>
      <c r="B1" s="15" t="s">
        <v>63</v>
      </c>
      <c r="C1" s="15" t="s">
        <v>64</v>
      </c>
      <c r="D1" s="15" t="s">
        <v>65</v>
      </c>
      <c r="E1" s="15" t="s">
        <v>66</v>
      </c>
      <c r="F1" s="15" t="s">
        <v>67</v>
      </c>
      <c r="G1" s="15" t="s">
        <v>68</v>
      </c>
      <c r="H1" s="15" t="s">
        <v>69</v>
      </c>
      <c r="I1" s="15" t="s">
        <v>104</v>
      </c>
      <c r="K1" s="15" t="s">
        <v>124</v>
      </c>
      <c r="L1" s="15" t="s">
        <v>127</v>
      </c>
      <c r="M1" s="15" t="s">
        <v>126</v>
      </c>
      <c r="O1" t="s">
        <v>124</v>
      </c>
      <c r="P1" t="s">
        <v>127</v>
      </c>
      <c r="Q1" t="s">
        <v>126</v>
      </c>
    </row>
    <row r="2" spans="1:17" ht="28.8" x14ac:dyDescent="0.55000000000000004">
      <c r="A2" s="35" t="s">
        <v>70</v>
      </c>
      <c r="B2" s="41" t="s">
        <v>71</v>
      </c>
      <c r="C2" s="42">
        <v>2011</v>
      </c>
      <c r="D2" s="43" t="s">
        <v>72</v>
      </c>
      <c r="E2" s="46">
        <v>4.4999999999999998E-2</v>
      </c>
      <c r="F2" s="46">
        <v>16</v>
      </c>
      <c r="G2" s="42">
        <v>51.93</v>
      </c>
      <c r="H2" s="42">
        <v>112</v>
      </c>
      <c r="I2" s="44">
        <f>MAX(G2:H2)</f>
        <v>112</v>
      </c>
      <c r="K2" s="36">
        <f>I2*1000000000</f>
        <v>112000000000</v>
      </c>
      <c r="L2" s="36">
        <f t="shared" ref="L2:L22" si="0">F2*1000000000</f>
        <v>16000000000</v>
      </c>
      <c r="M2" s="36">
        <f t="shared" ref="M2:M22" si="1">E2*1000000000</f>
        <v>45000000</v>
      </c>
      <c r="O2">
        <v>112000000000</v>
      </c>
      <c r="P2">
        <v>16000000000</v>
      </c>
      <c r="Q2">
        <v>45000000</v>
      </c>
    </row>
    <row r="3" spans="1:17" x14ac:dyDescent="0.55000000000000004">
      <c r="A3" s="35" t="s">
        <v>73</v>
      </c>
      <c r="B3" s="38" t="s">
        <v>71</v>
      </c>
      <c r="C3" s="39">
        <v>2015</v>
      </c>
      <c r="D3" s="40" t="s">
        <v>72</v>
      </c>
      <c r="E3" s="47">
        <v>32</v>
      </c>
      <c r="F3" s="47">
        <v>10.6</v>
      </c>
      <c r="G3" s="39">
        <v>3.12</v>
      </c>
      <c r="H3" s="39">
        <v>231</v>
      </c>
      <c r="I3" s="45">
        <f t="shared" ref="I3:I22" si="2">MAX(G3:H3)</f>
        <v>231</v>
      </c>
      <c r="K3" s="36">
        <f t="shared" ref="K3:K22" si="3">I3*1000000000</f>
        <v>231000000000</v>
      </c>
      <c r="L3" s="36">
        <f t="shared" si="0"/>
        <v>10600000000</v>
      </c>
      <c r="M3" s="36">
        <f t="shared" si="1"/>
        <v>32000000000</v>
      </c>
      <c r="O3">
        <v>231000000000</v>
      </c>
      <c r="P3">
        <v>10600000000</v>
      </c>
      <c r="Q3">
        <v>32000000000</v>
      </c>
    </row>
    <row r="4" spans="1:17" x14ac:dyDescent="0.55000000000000004">
      <c r="A4" s="35" t="s">
        <v>74</v>
      </c>
      <c r="B4" s="38" t="s">
        <v>71</v>
      </c>
      <c r="C4" s="39">
        <v>2019</v>
      </c>
      <c r="D4" s="40" t="s">
        <v>72</v>
      </c>
      <c r="E4" s="47">
        <v>12</v>
      </c>
      <c r="F4" s="47">
        <v>32</v>
      </c>
      <c r="G4" s="40" t="s">
        <v>75</v>
      </c>
      <c r="H4" s="39">
        <v>1332</v>
      </c>
      <c r="I4" s="45">
        <f t="shared" si="2"/>
        <v>1332</v>
      </c>
      <c r="K4" s="36">
        <f t="shared" si="3"/>
        <v>1332000000000</v>
      </c>
      <c r="L4" s="36">
        <f t="shared" si="0"/>
        <v>32000000000</v>
      </c>
      <c r="M4" s="36">
        <f t="shared" si="1"/>
        <v>12000000000</v>
      </c>
      <c r="O4">
        <v>1332000000000</v>
      </c>
      <c r="P4">
        <v>32000000000</v>
      </c>
      <c r="Q4">
        <v>12000000000</v>
      </c>
    </row>
    <row r="5" spans="1:17" x14ac:dyDescent="0.55000000000000004">
      <c r="A5" s="35" t="s">
        <v>76</v>
      </c>
      <c r="B5" s="38" t="s">
        <v>71</v>
      </c>
      <c r="C5" s="39">
        <v>2010</v>
      </c>
      <c r="D5" s="40" t="s">
        <v>77</v>
      </c>
      <c r="E5" s="47">
        <v>32</v>
      </c>
      <c r="F5" s="47">
        <v>30</v>
      </c>
      <c r="G5" s="39">
        <v>224</v>
      </c>
      <c r="H5" s="39">
        <v>1000</v>
      </c>
      <c r="I5" s="45">
        <f t="shared" si="2"/>
        <v>1000</v>
      </c>
      <c r="K5" s="36">
        <f t="shared" si="3"/>
        <v>1000000000000</v>
      </c>
      <c r="L5" s="36">
        <f t="shared" si="0"/>
        <v>30000000000</v>
      </c>
      <c r="M5" s="36">
        <f t="shared" si="1"/>
        <v>32000000000</v>
      </c>
      <c r="O5">
        <v>1000000000000</v>
      </c>
      <c r="P5">
        <v>30000000000</v>
      </c>
      <c r="Q5">
        <v>32000000000</v>
      </c>
    </row>
    <row r="6" spans="1:17" x14ac:dyDescent="0.55000000000000004">
      <c r="A6" s="35" t="s">
        <v>78</v>
      </c>
      <c r="B6" s="38" t="s">
        <v>71</v>
      </c>
      <c r="C6" s="39">
        <v>2010</v>
      </c>
      <c r="D6" s="40" t="s">
        <v>77</v>
      </c>
      <c r="E6" s="47">
        <v>64</v>
      </c>
      <c r="F6" s="47">
        <v>60</v>
      </c>
      <c r="G6" s="40" t="s">
        <v>75</v>
      </c>
      <c r="H6" s="39">
        <v>2340</v>
      </c>
      <c r="I6" s="45">
        <f t="shared" si="2"/>
        <v>2340</v>
      </c>
      <c r="K6" s="36">
        <f t="shared" si="3"/>
        <v>2340000000000</v>
      </c>
      <c r="L6" s="36">
        <f t="shared" si="0"/>
        <v>60000000000</v>
      </c>
      <c r="M6" s="36">
        <f t="shared" si="1"/>
        <v>64000000000</v>
      </c>
      <c r="O6">
        <v>2340000000000</v>
      </c>
      <c r="P6">
        <v>60000000000</v>
      </c>
      <c r="Q6">
        <v>64000000000</v>
      </c>
    </row>
    <row r="7" spans="1:17" ht="28.8" x14ac:dyDescent="0.55000000000000004">
      <c r="A7" s="35" t="s">
        <v>79</v>
      </c>
      <c r="B7" s="38" t="s">
        <v>71</v>
      </c>
      <c r="C7" s="39">
        <v>2019</v>
      </c>
      <c r="D7" s="40" t="s">
        <v>72</v>
      </c>
      <c r="E7" s="47">
        <v>128</v>
      </c>
      <c r="F7" s="47">
        <v>22.4</v>
      </c>
      <c r="G7" s="39">
        <v>511</v>
      </c>
      <c r="H7" s="39">
        <v>4090</v>
      </c>
      <c r="I7" s="45">
        <f t="shared" si="2"/>
        <v>4090</v>
      </c>
      <c r="K7" s="36">
        <f t="shared" si="3"/>
        <v>4090000000000</v>
      </c>
      <c r="L7" s="36">
        <f t="shared" si="0"/>
        <v>22400000000</v>
      </c>
      <c r="M7" s="36">
        <f t="shared" si="1"/>
        <v>128000000000</v>
      </c>
      <c r="O7">
        <v>4090000000000</v>
      </c>
      <c r="P7">
        <v>22400000000</v>
      </c>
      <c r="Q7">
        <v>128000000000</v>
      </c>
    </row>
    <row r="8" spans="1:17" x14ac:dyDescent="0.55000000000000004">
      <c r="A8" s="35" t="s">
        <v>80</v>
      </c>
      <c r="B8" s="38" t="s">
        <v>71</v>
      </c>
      <c r="C8" s="39">
        <v>2020</v>
      </c>
      <c r="D8" s="40" t="s">
        <v>72</v>
      </c>
      <c r="E8" s="47">
        <v>128</v>
      </c>
      <c r="F8" s="47">
        <v>12.5</v>
      </c>
      <c r="G8" s="40" t="s">
        <v>75</v>
      </c>
      <c r="H8" s="39">
        <v>215</v>
      </c>
      <c r="I8" s="45">
        <f t="shared" si="2"/>
        <v>215</v>
      </c>
      <c r="K8" s="36">
        <f t="shared" si="3"/>
        <v>215000000000</v>
      </c>
      <c r="L8" s="36">
        <f t="shared" si="0"/>
        <v>12500000000</v>
      </c>
      <c r="M8" s="36">
        <f t="shared" si="1"/>
        <v>128000000000</v>
      </c>
      <c r="O8">
        <v>215000000000</v>
      </c>
      <c r="P8">
        <v>12500000000</v>
      </c>
      <c r="Q8">
        <v>128000000000</v>
      </c>
    </row>
    <row r="9" spans="1:17" ht="28.8" x14ac:dyDescent="0.55000000000000004">
      <c r="A9" s="35" t="s">
        <v>81</v>
      </c>
      <c r="B9" s="38" t="s">
        <v>71</v>
      </c>
      <c r="C9" s="39">
        <v>2012</v>
      </c>
      <c r="D9" s="40" t="s">
        <v>77</v>
      </c>
      <c r="E9" s="47">
        <v>32</v>
      </c>
      <c r="F9" s="47">
        <v>2.67</v>
      </c>
      <c r="G9" s="40" t="s">
        <v>75</v>
      </c>
      <c r="H9" s="39">
        <v>168</v>
      </c>
      <c r="I9" s="45">
        <f t="shared" si="2"/>
        <v>168</v>
      </c>
      <c r="K9" s="36">
        <f t="shared" si="3"/>
        <v>168000000000</v>
      </c>
      <c r="L9" s="36">
        <f t="shared" si="0"/>
        <v>2670000000</v>
      </c>
      <c r="M9" s="36">
        <f t="shared" si="1"/>
        <v>32000000000</v>
      </c>
      <c r="O9">
        <v>168000000000</v>
      </c>
      <c r="P9">
        <v>2670000000</v>
      </c>
      <c r="Q9">
        <v>32000000000</v>
      </c>
    </row>
    <row r="10" spans="1:17" x14ac:dyDescent="0.55000000000000004">
      <c r="A10" s="35" t="s">
        <v>82</v>
      </c>
      <c r="B10" s="38" t="s">
        <v>83</v>
      </c>
      <c r="C10" s="39">
        <v>2015</v>
      </c>
      <c r="D10" s="40" t="s">
        <v>77</v>
      </c>
      <c r="E10" s="47">
        <v>4</v>
      </c>
      <c r="F10" s="47">
        <v>25.6</v>
      </c>
      <c r="G10" s="39">
        <v>512</v>
      </c>
      <c r="H10" s="40" t="s">
        <v>75</v>
      </c>
      <c r="I10" s="45">
        <f t="shared" si="2"/>
        <v>512</v>
      </c>
      <c r="K10" s="36">
        <f t="shared" si="3"/>
        <v>512000000000</v>
      </c>
      <c r="L10" s="36">
        <f t="shared" si="0"/>
        <v>25600000000</v>
      </c>
      <c r="M10" s="36">
        <f t="shared" si="1"/>
        <v>4000000000</v>
      </c>
      <c r="O10">
        <v>512000000000</v>
      </c>
      <c r="P10">
        <v>25600000000</v>
      </c>
      <c r="Q10">
        <v>4000000000</v>
      </c>
    </row>
    <row r="11" spans="1:17" ht="37.799999999999997" x14ac:dyDescent="0.55000000000000004">
      <c r="A11" s="35" t="s">
        <v>84</v>
      </c>
      <c r="B11" s="38" t="s">
        <v>85</v>
      </c>
      <c r="C11" s="39">
        <v>2017</v>
      </c>
      <c r="D11" s="40" t="s">
        <v>72</v>
      </c>
      <c r="E11" s="47">
        <v>64</v>
      </c>
      <c r="F11" s="47">
        <v>13</v>
      </c>
      <c r="G11" s="39">
        <v>3.7</v>
      </c>
      <c r="H11" s="40" t="s">
        <v>75</v>
      </c>
      <c r="I11" s="45">
        <f t="shared" si="2"/>
        <v>3.7</v>
      </c>
      <c r="K11" s="36">
        <f t="shared" si="3"/>
        <v>3700000000</v>
      </c>
      <c r="L11" s="36">
        <f t="shared" si="0"/>
        <v>13000000000</v>
      </c>
      <c r="M11" s="36">
        <f t="shared" si="1"/>
        <v>64000000000</v>
      </c>
      <c r="O11">
        <v>3700000000</v>
      </c>
      <c r="P11">
        <v>13000000000</v>
      </c>
      <c r="Q11">
        <v>64000000000</v>
      </c>
    </row>
    <row r="12" spans="1:17" x14ac:dyDescent="0.55000000000000004">
      <c r="A12" s="35" t="s">
        <v>86</v>
      </c>
      <c r="B12" s="38" t="s">
        <v>87</v>
      </c>
      <c r="C12" s="39">
        <v>2001</v>
      </c>
      <c r="D12" s="40" t="s">
        <v>72</v>
      </c>
      <c r="E12" s="47">
        <v>1</v>
      </c>
      <c r="F12" s="47">
        <v>1.6</v>
      </c>
      <c r="G12" s="39">
        <v>0.2</v>
      </c>
      <c r="H12" s="40" t="s">
        <v>75</v>
      </c>
      <c r="I12" s="45">
        <f t="shared" si="2"/>
        <v>0.2</v>
      </c>
      <c r="K12" s="36">
        <f t="shared" si="3"/>
        <v>200000000</v>
      </c>
      <c r="L12" s="36">
        <f t="shared" si="0"/>
        <v>1600000000</v>
      </c>
      <c r="M12" s="36">
        <f t="shared" si="1"/>
        <v>1000000000</v>
      </c>
      <c r="O12">
        <v>200000000</v>
      </c>
      <c r="P12">
        <v>1600000000</v>
      </c>
      <c r="Q12">
        <v>1000000000</v>
      </c>
    </row>
    <row r="13" spans="1:17" ht="37.799999999999997" x14ac:dyDescent="0.55000000000000004">
      <c r="A13" s="35" t="s">
        <v>88</v>
      </c>
      <c r="B13" s="38" t="s">
        <v>85</v>
      </c>
      <c r="C13" s="39">
        <v>2015</v>
      </c>
      <c r="D13" s="40" t="s">
        <v>72</v>
      </c>
      <c r="E13" s="47">
        <v>4</v>
      </c>
      <c r="F13" s="47">
        <v>0.8</v>
      </c>
      <c r="G13" s="39">
        <v>1</v>
      </c>
      <c r="H13" s="40" t="s">
        <v>75</v>
      </c>
      <c r="I13" s="45">
        <f t="shared" si="2"/>
        <v>1</v>
      </c>
      <c r="K13" s="36">
        <f t="shared" si="3"/>
        <v>1000000000</v>
      </c>
      <c r="L13" s="36">
        <f t="shared" si="0"/>
        <v>800000000</v>
      </c>
      <c r="M13" s="36">
        <f t="shared" si="1"/>
        <v>4000000000</v>
      </c>
      <c r="O13">
        <v>1000000000</v>
      </c>
      <c r="P13">
        <v>800000000</v>
      </c>
      <c r="Q13">
        <v>4000000000</v>
      </c>
    </row>
    <row r="14" spans="1:17" ht="37.799999999999997" x14ac:dyDescent="0.55000000000000004">
      <c r="A14" s="35" t="s">
        <v>89</v>
      </c>
      <c r="B14" s="38" t="s">
        <v>85</v>
      </c>
      <c r="C14" s="39">
        <v>2009</v>
      </c>
      <c r="D14" s="40" t="s">
        <v>72</v>
      </c>
      <c r="E14" s="47">
        <v>1</v>
      </c>
      <c r="F14" s="47">
        <v>0.4</v>
      </c>
      <c r="G14" s="39">
        <v>0.2</v>
      </c>
      <c r="H14" s="40" t="s">
        <v>75</v>
      </c>
      <c r="I14" s="45">
        <f t="shared" si="2"/>
        <v>0.2</v>
      </c>
      <c r="K14" s="36">
        <f t="shared" si="3"/>
        <v>200000000</v>
      </c>
      <c r="L14" s="36">
        <f t="shared" si="0"/>
        <v>400000000</v>
      </c>
      <c r="M14" s="36">
        <f t="shared" si="1"/>
        <v>1000000000</v>
      </c>
      <c r="O14">
        <v>200000000</v>
      </c>
      <c r="P14">
        <v>400000000</v>
      </c>
      <c r="Q14">
        <v>1000000000</v>
      </c>
    </row>
    <row r="15" spans="1:17" ht="37.799999999999997" x14ac:dyDescent="0.55000000000000004">
      <c r="A15" s="35" t="s">
        <v>90</v>
      </c>
      <c r="B15" s="38" t="s">
        <v>85</v>
      </c>
      <c r="C15" s="39">
        <v>2019</v>
      </c>
      <c r="D15" s="40" t="s">
        <v>72</v>
      </c>
      <c r="E15" s="47">
        <v>64</v>
      </c>
      <c r="F15" s="47">
        <v>33.6</v>
      </c>
      <c r="G15" s="39">
        <v>57.6</v>
      </c>
      <c r="H15" s="40" t="s">
        <v>75</v>
      </c>
      <c r="I15" s="45">
        <f t="shared" si="2"/>
        <v>57.6</v>
      </c>
      <c r="K15" s="36">
        <f t="shared" si="3"/>
        <v>57600000000</v>
      </c>
      <c r="L15" s="36">
        <f t="shared" si="0"/>
        <v>33600000000</v>
      </c>
      <c r="M15" s="36">
        <f t="shared" si="1"/>
        <v>64000000000</v>
      </c>
      <c r="O15">
        <v>57600000000</v>
      </c>
      <c r="P15">
        <v>33600000000</v>
      </c>
      <c r="Q15">
        <v>64000000000</v>
      </c>
    </row>
    <row r="16" spans="1:17" ht="37.799999999999997" x14ac:dyDescent="0.55000000000000004">
      <c r="A16" s="35" t="s">
        <v>91</v>
      </c>
      <c r="B16" s="38" t="s">
        <v>85</v>
      </c>
      <c r="C16" s="39">
        <v>2024</v>
      </c>
      <c r="D16" s="40" t="s">
        <v>72</v>
      </c>
      <c r="E16" s="47">
        <v>64</v>
      </c>
      <c r="F16" s="47">
        <v>51.2</v>
      </c>
      <c r="G16" s="39">
        <v>128</v>
      </c>
      <c r="H16" s="40" t="s">
        <v>75</v>
      </c>
      <c r="I16" s="45">
        <f t="shared" si="2"/>
        <v>128</v>
      </c>
      <c r="K16" s="36">
        <f t="shared" si="3"/>
        <v>128000000000</v>
      </c>
      <c r="L16" s="36">
        <f t="shared" si="0"/>
        <v>51200000000</v>
      </c>
      <c r="M16" s="36">
        <f t="shared" si="1"/>
        <v>64000000000</v>
      </c>
      <c r="O16">
        <v>128000000000</v>
      </c>
      <c r="P16">
        <v>51200000000</v>
      </c>
      <c r="Q16">
        <v>64000000000</v>
      </c>
    </row>
    <row r="17" spans="1:17" ht="50.1" x14ac:dyDescent="0.55000000000000004">
      <c r="A17" s="35" t="s">
        <v>92</v>
      </c>
      <c r="B17" s="38" t="s">
        <v>93</v>
      </c>
      <c r="C17" s="39">
        <v>2017</v>
      </c>
      <c r="D17" s="40" t="s">
        <v>72</v>
      </c>
      <c r="E17" s="47">
        <v>0.5</v>
      </c>
      <c r="F17" s="47">
        <v>4.8</v>
      </c>
      <c r="G17" s="39">
        <v>0.9</v>
      </c>
      <c r="H17" s="40" t="s">
        <v>75</v>
      </c>
      <c r="I17" s="45">
        <f t="shared" si="2"/>
        <v>0.9</v>
      </c>
      <c r="K17" s="36">
        <f t="shared" si="3"/>
        <v>900000000</v>
      </c>
      <c r="L17" s="36">
        <f t="shared" si="0"/>
        <v>4800000000</v>
      </c>
      <c r="M17" s="36">
        <f t="shared" si="1"/>
        <v>500000000</v>
      </c>
      <c r="O17">
        <v>900000000</v>
      </c>
      <c r="P17">
        <v>4800000000</v>
      </c>
      <c r="Q17">
        <v>500000000</v>
      </c>
    </row>
    <row r="18" spans="1:17" ht="25.5" x14ac:dyDescent="0.55000000000000004">
      <c r="A18" s="35" t="s">
        <v>94</v>
      </c>
      <c r="B18" s="38" t="s">
        <v>95</v>
      </c>
      <c r="C18" s="39">
        <v>2022</v>
      </c>
      <c r="D18" s="40" t="s">
        <v>72</v>
      </c>
      <c r="E18" s="48" t="s">
        <v>75</v>
      </c>
      <c r="F18" s="47">
        <v>3.125</v>
      </c>
      <c r="G18" s="39">
        <v>25</v>
      </c>
      <c r="H18" s="40" t="s">
        <v>75</v>
      </c>
      <c r="I18" s="45">
        <f t="shared" si="2"/>
        <v>25</v>
      </c>
      <c r="K18" s="36">
        <f t="shared" si="3"/>
        <v>25000000000</v>
      </c>
      <c r="L18" s="36">
        <f t="shared" si="0"/>
        <v>3125000000</v>
      </c>
      <c r="M18" s="36" t="e">
        <f t="shared" si="1"/>
        <v>#VALUE!</v>
      </c>
      <c r="O18">
        <v>25000000000</v>
      </c>
      <c r="P18">
        <v>3125000000</v>
      </c>
      <c r="Q18" t="e">
        <v>#VALUE!</v>
      </c>
    </row>
    <row r="19" spans="1:17" ht="50.1" x14ac:dyDescent="0.55000000000000004">
      <c r="A19" s="35" t="s">
        <v>96</v>
      </c>
      <c r="B19" s="38" t="s">
        <v>97</v>
      </c>
      <c r="C19" s="39">
        <v>2010</v>
      </c>
      <c r="D19" s="40" t="s">
        <v>77</v>
      </c>
      <c r="E19" s="47">
        <v>16</v>
      </c>
      <c r="F19" s="47">
        <v>28.8</v>
      </c>
      <c r="G19" s="39">
        <v>154</v>
      </c>
      <c r="H19" s="39">
        <v>614</v>
      </c>
      <c r="I19" s="45">
        <f t="shared" si="2"/>
        <v>614</v>
      </c>
      <c r="K19" s="36">
        <f t="shared" si="3"/>
        <v>614000000000</v>
      </c>
      <c r="L19" s="36">
        <f t="shared" si="0"/>
        <v>28800000000</v>
      </c>
      <c r="M19" s="36">
        <f t="shared" si="1"/>
        <v>16000000000</v>
      </c>
      <c r="O19">
        <v>614000000000</v>
      </c>
      <c r="P19">
        <v>28800000000</v>
      </c>
      <c r="Q19">
        <v>16000000000</v>
      </c>
    </row>
    <row r="20" spans="1:17" ht="62.4" x14ac:dyDescent="0.55000000000000004">
      <c r="A20" s="35" t="s">
        <v>98</v>
      </c>
      <c r="B20" s="38" t="s">
        <v>99</v>
      </c>
      <c r="C20" s="39">
        <v>2018</v>
      </c>
      <c r="D20" s="40" t="s">
        <v>77</v>
      </c>
      <c r="E20" s="47">
        <v>16</v>
      </c>
      <c r="F20" s="47">
        <v>34.1</v>
      </c>
      <c r="G20" s="39">
        <v>950</v>
      </c>
      <c r="H20" s="40" t="s">
        <v>75</v>
      </c>
      <c r="I20" s="45">
        <f t="shared" si="2"/>
        <v>950</v>
      </c>
      <c r="K20" s="36">
        <f t="shared" si="3"/>
        <v>950000000000</v>
      </c>
      <c r="L20" s="36">
        <f t="shared" si="0"/>
        <v>34100000000</v>
      </c>
      <c r="M20" s="36">
        <f t="shared" si="1"/>
        <v>16000000000</v>
      </c>
      <c r="O20">
        <v>950000000000</v>
      </c>
      <c r="P20">
        <v>34100000000</v>
      </c>
      <c r="Q20">
        <v>16000000000</v>
      </c>
    </row>
    <row r="21" spans="1:17" ht="50.1" x14ac:dyDescent="0.55000000000000004">
      <c r="A21" s="35" t="s">
        <v>100</v>
      </c>
      <c r="B21" s="38" t="s">
        <v>101</v>
      </c>
      <c r="C21" s="39">
        <v>2022</v>
      </c>
      <c r="D21" s="40" t="s">
        <v>72</v>
      </c>
      <c r="E21" s="47">
        <v>128</v>
      </c>
      <c r="F21" s="47">
        <v>136</v>
      </c>
      <c r="G21" s="39">
        <v>1380</v>
      </c>
      <c r="H21" s="39">
        <v>3870</v>
      </c>
      <c r="I21" s="45">
        <f t="shared" si="2"/>
        <v>3870</v>
      </c>
      <c r="K21" s="36">
        <f t="shared" si="3"/>
        <v>3870000000000</v>
      </c>
      <c r="L21" s="36">
        <f t="shared" si="0"/>
        <v>136000000000</v>
      </c>
      <c r="M21" s="36">
        <f t="shared" si="1"/>
        <v>128000000000</v>
      </c>
      <c r="O21">
        <v>3870000000000</v>
      </c>
      <c r="P21">
        <v>136000000000</v>
      </c>
      <c r="Q21">
        <v>128000000000</v>
      </c>
    </row>
    <row r="22" spans="1:17" ht="25.5" x14ac:dyDescent="0.55000000000000004">
      <c r="A22" s="37" t="s">
        <v>102</v>
      </c>
      <c r="B22" s="38" t="s">
        <v>103</v>
      </c>
      <c r="C22" s="39">
        <v>2021</v>
      </c>
      <c r="D22" s="40" t="s">
        <v>72</v>
      </c>
      <c r="E22" s="47">
        <v>3</v>
      </c>
      <c r="F22" s="47">
        <v>21.3</v>
      </c>
      <c r="G22" s="39">
        <v>64</v>
      </c>
      <c r="H22" s="40" t="s">
        <v>75</v>
      </c>
      <c r="I22" s="45">
        <f t="shared" si="2"/>
        <v>64</v>
      </c>
      <c r="K22" s="36">
        <f t="shared" si="3"/>
        <v>64000000000</v>
      </c>
      <c r="L22" s="36">
        <f t="shared" si="0"/>
        <v>21300000000</v>
      </c>
      <c r="M22" s="36">
        <f t="shared" si="1"/>
        <v>3000000000</v>
      </c>
      <c r="O22">
        <v>64000000000</v>
      </c>
      <c r="P22">
        <v>21300000000</v>
      </c>
      <c r="Q22">
        <v>3000000000</v>
      </c>
    </row>
  </sheetData>
  <hyperlinks>
    <hyperlink ref="A1" r:id="rId1" display="https://drive.google.com/drive/folders/1k9s2NTgh0iZ5Zcuu2C4tmSuJN2Jq7Ct_?usp=sharing" xr:uid="{CBDFB8D2-18A8-47F7-A6F1-6CFEAA73A4D4}"/>
    <hyperlink ref="A2" r:id="rId2" display="https://docs.google.com/document/d/1f6z8KG3Vn0QY4xmqYPbojgxF7qDYCO_vvfgC00R-ulI/edit?usp=drive_link" xr:uid="{F3E9378A-6266-4A66-AF7D-78C729728B17}"/>
    <hyperlink ref="A3" r:id="rId3" display="https://docs.google.com/document/d/1dOG2HmSJISjUS_645nizGcMzMpjMiXcRheR-tLcuQ80/edit?usp=sharing" xr:uid="{7D640315-0B2E-4FE0-9E43-DAB3B13ACF72}"/>
    <hyperlink ref="A4" r:id="rId4" display="https://docs.google.com/document/d/1i5RU8aghy_4Tg3JY8__LwrMYSPPrjihH1BCHbgtmbec/edit?usp=sharing" xr:uid="{30DAA528-25CD-4328-8E1C-175E9BF98566}"/>
    <hyperlink ref="A5" r:id="rId5" display="https://docs.google.com/document/d/1IV_TG5qxgfYtMxqbr0EXrDpmikpdag_ACl1WHXIfQIs/edit?usp=sharing" xr:uid="{B31E3379-5B01-420D-BA5A-E228683081AA}"/>
    <hyperlink ref="A6" r:id="rId6" display="https://docs.google.com/document/d/1Rs6MMj-aD6flWyt-gE9qVC-5j8GZixIgjk_kkajBszg/edit?usp=sharing" xr:uid="{7BE81F99-FD04-4DE9-B173-FF9252932CFC}"/>
    <hyperlink ref="A7" r:id="rId7" display="https://docs.google.com/document/d/17XxTX2c2z6MF2KJEZfYd7TtInKZg__TJAor2J83SCEk/edit?usp=sharing" xr:uid="{1D0B9F1F-3212-4620-8D1F-5B0DDE39F5B4}"/>
    <hyperlink ref="A8" r:id="rId8" display="https://docs.google.com/document/d/1czasiPy1pT-qoX-Z4f4qQC9vlFVugHUDuooy_ulQP1k/edit?usp=sharing" xr:uid="{D8437FBE-F29D-4856-A7CC-50D9CE44714B}"/>
    <hyperlink ref="A9" r:id="rId9" display="https://docs.google.com/document/d/1Hv85PrHAEbg3SU8cE0pWDm6h-39xJLpnDe5u2JhcZ98/edit?usp=sharing" xr:uid="{4B113079-9909-424C-B0B4-33DC0E53D12C}"/>
    <hyperlink ref="A10" r:id="rId10" display="https://docs.google.com/document/d/1J05sVgsrQUfi9-pBKSHZ9_d9lze9NaSj8PzzPqumGJk/edit?usp=sharing" xr:uid="{5B42EB1E-49AE-48B5-A22D-F2E23D4B69CB}"/>
    <hyperlink ref="A11" r:id="rId11" display="https://docs.google.com/document/d/1PISPzmEbS-p3qw4CZohxzjCg7XlYLQCEpMyt0SREpJY/edit?usp=sharing" xr:uid="{A9C928FA-234F-475F-A68A-E800A4EF47D5}"/>
    <hyperlink ref="A12" r:id="rId12" display="https://docs.google.com/document/d/14vRvv1qRwbLQ8MOtktNHzaf4vE1iNrwMvN-4lLBEVgI/edit?usp=sharing" xr:uid="{D05EE7E4-1C93-4402-9BB7-CBB074199666}"/>
    <hyperlink ref="A13" r:id="rId13" display="https://docs.google.com/document/d/1hF5JZrJlK2Le2Ny27UjciHKk4QeHXEAD32IOHzlXtz8/edit?usp=sharing" xr:uid="{89758EB9-FB3D-40B8-B2D2-1F26DD82898D}"/>
    <hyperlink ref="A14" r:id="rId14" display="https://docs.google.com/document/d/1TOXknXi7KqF5wbKFvTCpz1oaBOyy9-SaX85EUf5KdQc/edit?usp=sharing" xr:uid="{C2D70AEB-3888-4EF2-9807-FFC1CCA423BC}"/>
    <hyperlink ref="A15" r:id="rId15" display="https://docs.google.com/document/d/1rYClbQlZS8Dpw8qK6r1CSacQfGXnnY2AD1VwBJbv2sI/edit?usp=sharing" xr:uid="{EE79BF04-FDD3-4214-8A30-76DB0B869811}"/>
    <hyperlink ref="A16" r:id="rId16" display="https://docs.google.com/document/d/1gHrscOePA5DxOtLMyD-8pvOgeiXBSTfsMQ_19yPS0yU/edit?usp=sharing" xr:uid="{FABE8A72-1969-4610-ADF2-635645D9D07A}"/>
    <hyperlink ref="A17" r:id="rId17" display="https://docs.google.com/document/d/1tsCZ_i-S3ZCEZOWZ3n_ElroJO0uvSYrdjB3znM5LbMc/edit?usp=sharing" xr:uid="{8CCD661E-8C59-468A-9D5C-37688F940781}"/>
    <hyperlink ref="A18" r:id="rId18" display="https://docs.google.com/document/d/1Xf264nJV2Ew8VsmahQL-wIQKGzCN2s1f7vVbbSsUcRs/edit?usp=sharing" xr:uid="{A8190E5F-570E-4294-90D0-CA47A1F293AE}"/>
    <hyperlink ref="A19" r:id="rId19" display="https://docs.google.com/document/d/1ULlEtMH2g_o3138RdIA1yedcgZAJATrkWqCrcEsB0RY/edit?usp=sharing" xr:uid="{0F0E79E8-5889-49BB-9AC7-ACF9462E52EC}"/>
    <hyperlink ref="A20" r:id="rId20" display="https://docs.google.com/document/d/1sE8ambbOSKiQf4LjAzsBf-yyNo9LY5E0RGWrfScaNps/edit?usp=sharing" xr:uid="{15BA48DE-8E7D-4269-9992-0B0BE465BD8B}"/>
    <hyperlink ref="A21" r:id="rId21" display="https://docs.google.com/document/d/1OihczCcLnHJ7hkxBuXHN70oahKOtW3HqaomB9HEODKg/edit?usp=sharing" xr:uid="{8E5BB7DD-DAE4-492C-95A4-9523FD104485}"/>
    <hyperlink ref="A22" r:id="rId22" display="https://docs.google.com/document/d/1-9QxnN96puaW_eHLDUy4gAYTHaHYF7WGdExffJUJ9Nk/edit?usp=sharing" xr:uid="{5FB93472-B61E-45BD-A87B-F3C018063263}"/>
  </hyperlinks>
  <pageMargins left="0.7" right="0.7" top="0.75" bottom="0.75" header="0.3" footer="0.3"/>
  <pageSetup orientation="portrait" r:id="rId2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BACD9-900A-4B18-8475-A165891490F2}">
  <dimension ref="A1:V51"/>
  <sheetViews>
    <sheetView workbookViewId="0">
      <selection activeCell="N37" sqref="N37"/>
    </sheetView>
  </sheetViews>
  <sheetFormatPr defaultRowHeight="14.4" x14ac:dyDescent="0.55000000000000004"/>
  <sheetData>
    <row r="1" spans="1:22" x14ac:dyDescent="0.55000000000000004">
      <c r="A1" s="128" t="s">
        <v>50</v>
      </c>
      <c r="B1" s="128"/>
      <c r="C1" s="128"/>
      <c r="D1" s="128"/>
      <c r="E1" s="128"/>
      <c r="F1" s="128"/>
      <c r="G1" s="128"/>
      <c r="H1" s="128"/>
      <c r="I1" s="128"/>
      <c r="L1" s="128" t="s">
        <v>51</v>
      </c>
      <c r="M1" s="128"/>
      <c r="N1" s="128"/>
      <c r="O1" s="128"/>
      <c r="P1" s="128"/>
      <c r="Q1" s="128"/>
      <c r="R1" s="128"/>
      <c r="S1" s="128"/>
      <c r="T1" s="128"/>
    </row>
    <row r="2" spans="1:22" x14ac:dyDescent="0.55000000000000004">
      <c r="A2" s="131" t="s">
        <v>180</v>
      </c>
      <c r="B2" s="131"/>
      <c r="C2" s="131"/>
      <c r="D2" s="131"/>
      <c r="E2" s="131"/>
      <c r="F2" s="131"/>
      <c r="G2" s="131"/>
      <c r="H2" s="107"/>
      <c r="I2" s="107"/>
      <c r="K2" s="11"/>
      <c r="L2" s="131" t="s">
        <v>180</v>
      </c>
      <c r="M2" s="131"/>
      <c r="N2" s="131"/>
      <c r="O2" s="131"/>
      <c r="P2" s="131"/>
      <c r="Q2" s="131"/>
      <c r="R2" s="131"/>
      <c r="S2" s="107"/>
      <c r="T2" s="107"/>
    </row>
    <row r="3" spans="1:22" x14ac:dyDescent="0.55000000000000004">
      <c r="A3" t="s">
        <v>215</v>
      </c>
      <c r="B3" s="13" t="s">
        <v>214</v>
      </c>
      <c r="D3" t="s">
        <v>199</v>
      </c>
      <c r="E3" s="14" t="s">
        <v>203</v>
      </c>
      <c r="F3" s="13" t="s">
        <v>208</v>
      </c>
      <c r="G3" s="13" t="s">
        <v>209</v>
      </c>
      <c r="H3" t="s">
        <v>202</v>
      </c>
      <c r="I3" t="s">
        <v>210</v>
      </c>
      <c r="K3" s="11"/>
      <c r="L3" t="s">
        <v>215</v>
      </c>
      <c r="M3" s="13" t="s">
        <v>214</v>
      </c>
      <c r="O3" t="s">
        <v>199</v>
      </c>
      <c r="P3" t="s">
        <v>203</v>
      </c>
      <c r="Q3" s="13" t="s">
        <v>208</v>
      </c>
      <c r="R3" s="13" t="s">
        <v>209</v>
      </c>
      <c r="S3" t="s">
        <v>202</v>
      </c>
      <c r="T3" t="s">
        <v>210</v>
      </c>
    </row>
    <row r="4" spans="1:22" x14ac:dyDescent="0.55000000000000004">
      <c r="A4" t="s">
        <v>194</v>
      </c>
      <c r="B4" s="115">
        <v>8.9605781919999998</v>
      </c>
      <c r="D4" s="17" t="s">
        <v>143</v>
      </c>
      <c r="E4" s="36">
        <f>B5+B6+B7</f>
        <v>1040.8031325300001</v>
      </c>
      <c r="F4" s="36">
        <v>49.836112704000001</v>
      </c>
      <c r="G4" s="36">
        <v>2.0721876384199582</v>
      </c>
      <c r="H4" s="36">
        <f>F5+F4</f>
        <v>1425.9726743040001</v>
      </c>
      <c r="I4" s="36">
        <f>G4+G5</f>
        <v>2.4536530747609144</v>
      </c>
      <c r="K4" s="11"/>
      <c r="L4" t="s">
        <v>194</v>
      </c>
      <c r="M4" s="115">
        <v>10.8547827326692</v>
      </c>
      <c r="O4" s="17" t="s">
        <v>143</v>
      </c>
      <c r="P4" s="36">
        <f>M5+M6+M7</f>
        <v>98.994013804981492</v>
      </c>
      <c r="Q4" s="36">
        <v>46.023411840000001</v>
      </c>
      <c r="R4" s="36">
        <v>1.09579552</v>
      </c>
      <c r="S4" s="36">
        <f>Q5+Q4</f>
        <v>354.98429504000001</v>
      </c>
      <c r="T4" s="36">
        <f>R4+R5</f>
        <v>1.2797008076190477</v>
      </c>
    </row>
    <row r="5" spans="1:22" x14ac:dyDescent="0.55000000000000004">
      <c r="A5" t="s">
        <v>195</v>
      </c>
      <c r="B5" s="115">
        <v>52.840178610000002</v>
      </c>
      <c r="D5" s="17" t="s">
        <v>204</v>
      </c>
      <c r="E5" s="36">
        <f>B6</f>
        <v>984.82810270000004</v>
      </c>
      <c r="F5" s="36">
        <v>1376.1365616000001</v>
      </c>
      <c r="G5" s="36">
        <v>0.38146543634095637</v>
      </c>
      <c r="H5" s="36">
        <f t="shared" ref="H5:I8" si="0">F5</f>
        <v>1376.1365616000001</v>
      </c>
      <c r="I5" s="36">
        <f t="shared" si="0"/>
        <v>0.38146543634095637</v>
      </c>
      <c r="K5" s="11"/>
      <c r="L5" t="s">
        <v>195</v>
      </c>
      <c r="M5" s="115">
        <v>27.725410071201601</v>
      </c>
      <c r="O5" s="17" t="s">
        <v>204</v>
      </c>
      <c r="P5" s="36">
        <f>M6</f>
        <v>71.096994791179895</v>
      </c>
      <c r="Q5" s="36">
        <v>308.96088320000001</v>
      </c>
      <c r="R5" s="36">
        <v>0.18390528761904762</v>
      </c>
      <c r="S5" s="36">
        <f t="shared" ref="S5:T8" si="1">Q5</f>
        <v>308.96088320000001</v>
      </c>
      <c r="T5" s="36">
        <f t="shared" si="1"/>
        <v>0.18390528761904762</v>
      </c>
      <c r="V5" s="36"/>
    </row>
    <row r="6" spans="1:22" x14ac:dyDescent="0.55000000000000004">
      <c r="A6" t="s">
        <v>196</v>
      </c>
      <c r="B6" s="115">
        <v>984.82810270000004</v>
      </c>
      <c r="D6" s="17" t="s">
        <v>200</v>
      </c>
      <c r="E6" s="36">
        <f>B7</f>
        <v>3.1348512199999998</v>
      </c>
      <c r="F6" s="36">
        <v>0.18715680000000001</v>
      </c>
      <c r="G6" s="36">
        <v>1.0894782536382537E-3</v>
      </c>
      <c r="H6" s="36">
        <f t="shared" si="0"/>
        <v>0.18715680000000001</v>
      </c>
      <c r="I6" s="36">
        <f t="shared" si="0"/>
        <v>1.0894782536382537E-3</v>
      </c>
      <c r="K6" s="11"/>
      <c r="L6" t="s">
        <v>196</v>
      </c>
      <c r="M6" s="115">
        <v>71.096994791179895</v>
      </c>
      <c r="O6" s="17" t="s">
        <v>200</v>
      </c>
      <c r="P6" s="36">
        <f>M7</f>
        <v>0.17160894260000001</v>
      </c>
      <c r="Q6" s="36">
        <v>2.6541760000000001E-2</v>
      </c>
      <c r="R6" s="36">
        <v>4.7396E-4</v>
      </c>
      <c r="S6" s="36">
        <f t="shared" si="1"/>
        <v>2.6541760000000001E-2</v>
      </c>
      <c r="T6" s="36">
        <f t="shared" si="1"/>
        <v>4.7396E-4</v>
      </c>
      <c r="V6" s="36"/>
    </row>
    <row r="7" spans="1:22" x14ac:dyDescent="0.55000000000000004">
      <c r="A7" t="s">
        <v>197</v>
      </c>
      <c r="B7" s="115">
        <v>3.1348512199999998</v>
      </c>
      <c r="D7" s="17" t="s">
        <v>201</v>
      </c>
      <c r="E7" s="36">
        <f>B8*'Top Level Case Parameters'!F5*2</f>
        <v>1363195.4961392982</v>
      </c>
      <c r="F7" s="36">
        <v>546303.73392383999</v>
      </c>
      <c r="G7" s="36">
        <v>6114.0332784139709</v>
      </c>
      <c r="H7" s="36">
        <f t="shared" si="0"/>
        <v>546303.73392383999</v>
      </c>
      <c r="I7" s="36">
        <f t="shared" si="0"/>
        <v>6114.0332784139709</v>
      </c>
      <c r="K7" s="11"/>
      <c r="L7" t="s">
        <v>197</v>
      </c>
      <c r="M7" s="116">
        <v>0.17160894260000001</v>
      </c>
      <c r="O7" s="17" t="s">
        <v>201</v>
      </c>
      <c r="P7" s="36">
        <f>M8*'Top Level Case Parameters'!F5*2</f>
        <v>629841.02265571046</v>
      </c>
      <c r="Q7" s="36">
        <v>431332.82811904</v>
      </c>
      <c r="R7" s="36">
        <v>1551.5569356799999</v>
      </c>
      <c r="S7" s="36">
        <f t="shared" si="1"/>
        <v>431332.82811904</v>
      </c>
      <c r="T7" s="36">
        <f t="shared" si="1"/>
        <v>1551.5569356799999</v>
      </c>
      <c r="V7" s="36"/>
    </row>
    <row r="8" spans="1:22" x14ac:dyDescent="0.55000000000000004">
      <c r="A8" t="s">
        <v>198</v>
      </c>
      <c r="B8" s="115">
        <v>294.80871456299701</v>
      </c>
      <c r="D8" s="17" t="s">
        <v>174</v>
      </c>
      <c r="E8" s="36">
        <f>B10</f>
        <v>0.21558531950000001</v>
      </c>
      <c r="F8" s="36">
        <v>0.18715680000000001</v>
      </c>
      <c r="G8" s="36">
        <f>G6</f>
        <v>1.0894782536382537E-3</v>
      </c>
      <c r="H8" s="36">
        <f t="shared" si="0"/>
        <v>0.18715680000000001</v>
      </c>
      <c r="I8" s="36">
        <f t="shared" si="0"/>
        <v>1.0894782536382537E-3</v>
      </c>
      <c r="K8" s="11"/>
      <c r="L8" t="s">
        <v>198</v>
      </c>
      <c r="M8" s="115">
        <v>136.211293826927</v>
      </c>
      <c r="O8" s="17" t="s">
        <v>174</v>
      </c>
      <c r="P8" s="36">
        <f>M10</f>
        <v>6.6999678879999996E-2</v>
      </c>
      <c r="Q8" s="36">
        <v>2.6541760000000001E-2</v>
      </c>
      <c r="R8" s="36">
        <v>4.7396E-4</v>
      </c>
      <c r="S8" s="36">
        <f t="shared" si="1"/>
        <v>2.6541760000000001E-2</v>
      </c>
      <c r="T8" s="36">
        <f t="shared" si="1"/>
        <v>4.7396E-4</v>
      </c>
      <c r="V8" s="36"/>
    </row>
    <row r="9" spans="1:22" x14ac:dyDescent="0.55000000000000004">
      <c r="A9" t="s">
        <v>212</v>
      </c>
      <c r="B9" s="115">
        <v>8.9481535269878805</v>
      </c>
      <c r="L9" t="s">
        <v>212</v>
      </c>
      <c r="M9" s="116">
        <v>10.85486895</v>
      </c>
    </row>
    <row r="10" spans="1:22" x14ac:dyDescent="0.55000000000000004">
      <c r="A10" t="s">
        <v>211</v>
      </c>
      <c r="B10" s="116">
        <v>0.21558531950000001</v>
      </c>
      <c r="L10" t="s">
        <v>211</v>
      </c>
      <c r="M10" s="116">
        <v>6.6999678879999996E-2</v>
      </c>
    </row>
    <row r="12" spans="1:22" x14ac:dyDescent="0.55000000000000004">
      <c r="A12" s="131" t="s">
        <v>207</v>
      </c>
      <c r="B12" s="131"/>
      <c r="C12" s="131"/>
      <c r="D12" s="131"/>
      <c r="E12" s="131"/>
      <c r="F12" s="131"/>
      <c r="G12" s="131"/>
      <c r="L12" s="131" t="s">
        <v>207</v>
      </c>
      <c r="M12" s="131"/>
      <c r="N12" s="131"/>
      <c r="O12" s="131"/>
      <c r="P12" s="131"/>
      <c r="Q12" s="131"/>
      <c r="R12" s="131"/>
    </row>
    <row r="13" spans="1:22" x14ac:dyDescent="0.55000000000000004">
      <c r="A13" t="s">
        <v>205</v>
      </c>
      <c r="D13" t="s">
        <v>206</v>
      </c>
      <c r="G13" s="18"/>
      <c r="H13" s="17"/>
      <c r="L13" t="s">
        <v>205</v>
      </c>
      <c r="O13" t="s">
        <v>206</v>
      </c>
      <c r="R13" s="18"/>
      <c r="S13" s="17"/>
    </row>
    <row r="14" spans="1:22" x14ac:dyDescent="0.55000000000000004">
      <c r="A14" t="s">
        <v>124</v>
      </c>
      <c r="B14" s="36">
        <v>12025000000</v>
      </c>
      <c r="D14" t="s">
        <v>155</v>
      </c>
      <c r="E14" s="77" t="s">
        <v>43</v>
      </c>
      <c r="G14" s="36"/>
      <c r="H14" s="36"/>
      <c r="L14" t="s">
        <v>124</v>
      </c>
      <c r="M14" s="36">
        <v>57600000000</v>
      </c>
      <c r="O14" t="s">
        <v>155</v>
      </c>
      <c r="P14" s="77" t="s">
        <v>43</v>
      </c>
      <c r="R14" s="36"/>
      <c r="S14" s="36"/>
    </row>
    <row r="15" spans="1:22" x14ac:dyDescent="0.55000000000000004">
      <c r="A15" t="s">
        <v>125</v>
      </c>
      <c r="B15" s="36">
        <v>12800000000</v>
      </c>
      <c r="D15" t="s">
        <v>45</v>
      </c>
      <c r="E15" s="36">
        <f>0.3*1000000000</f>
        <v>300000000</v>
      </c>
      <c r="G15" s="36"/>
      <c r="H15" s="36"/>
      <c r="L15" t="s">
        <v>125</v>
      </c>
      <c r="M15" s="36">
        <v>33600000000</v>
      </c>
      <c r="O15" t="s">
        <v>45</v>
      </c>
      <c r="P15" s="36">
        <f>0.3*1000000000</f>
        <v>300000000</v>
      </c>
      <c r="R15" s="36"/>
      <c r="S15" s="36"/>
    </row>
    <row r="16" spans="1:22" x14ac:dyDescent="0.55000000000000004">
      <c r="D16" t="s">
        <v>52</v>
      </c>
      <c r="E16" s="36">
        <f>0.07*1000000000</f>
        <v>70000000</v>
      </c>
      <c r="G16" s="36"/>
      <c r="H16" s="36"/>
      <c r="O16" t="s">
        <v>52</v>
      </c>
      <c r="P16" s="36">
        <f>0.6*1000000000</f>
        <v>600000000</v>
      </c>
      <c r="R16" s="36"/>
      <c r="S16" s="36"/>
    </row>
    <row r="17" spans="1:19" x14ac:dyDescent="0.55000000000000004">
      <c r="D17" t="s">
        <v>53</v>
      </c>
      <c r="E17" s="36">
        <f>0.4*1000000000</f>
        <v>400000000</v>
      </c>
      <c r="G17" s="36"/>
      <c r="H17" s="36"/>
      <c r="O17" t="s">
        <v>53</v>
      </c>
      <c r="P17" s="36">
        <f>0.8*1000000000</f>
        <v>800000000</v>
      </c>
      <c r="R17" s="36"/>
      <c r="S17" s="36"/>
    </row>
    <row r="18" spans="1:19" x14ac:dyDescent="0.55000000000000004">
      <c r="A18" s="3"/>
      <c r="B18" s="3"/>
      <c r="D18" t="s">
        <v>54</v>
      </c>
      <c r="E18" s="36">
        <f>0.005*1000000000</f>
        <v>5000000</v>
      </c>
      <c r="O18" t="s">
        <v>54</v>
      </c>
      <c r="P18" s="36">
        <f>0.04*1000000000</f>
        <v>40000000</v>
      </c>
    </row>
    <row r="19" spans="1:19" x14ac:dyDescent="0.55000000000000004">
      <c r="A19" s="3"/>
      <c r="B19" s="3"/>
      <c r="D19" t="s">
        <v>55</v>
      </c>
      <c r="E19" s="36">
        <f>0.004*1000000000</f>
        <v>4000000</v>
      </c>
      <c r="L19" s="3"/>
      <c r="M19" s="3"/>
      <c r="O19" t="s">
        <v>55</v>
      </c>
      <c r="P19" s="36">
        <f>0.008*1000000000</f>
        <v>8000000</v>
      </c>
    </row>
    <row r="20" spans="1:19" x14ac:dyDescent="0.55000000000000004">
      <c r="A20" s="3"/>
      <c r="B20" s="3"/>
      <c r="L20" s="3"/>
      <c r="M20" s="3"/>
    </row>
    <row r="21" spans="1:19" x14ac:dyDescent="0.55000000000000004">
      <c r="A21" s="131" t="s">
        <v>213</v>
      </c>
      <c r="B21" s="131"/>
      <c r="C21" s="131"/>
      <c r="D21" s="131"/>
      <c r="L21" s="131" t="s">
        <v>213</v>
      </c>
      <c r="M21" s="131"/>
      <c r="N21" s="131"/>
      <c r="O21" s="131"/>
    </row>
    <row r="22" spans="1:19" x14ac:dyDescent="0.55000000000000004">
      <c r="A22" t="s">
        <v>199</v>
      </c>
      <c r="B22" s="2" t="s">
        <v>203</v>
      </c>
      <c r="C22" t="s">
        <v>202</v>
      </c>
      <c r="D22" t="s">
        <v>210</v>
      </c>
      <c r="L22" t="s">
        <v>199</v>
      </c>
      <c r="M22" s="2" t="s">
        <v>203</v>
      </c>
      <c r="N22" t="s">
        <v>202</v>
      </c>
      <c r="O22" t="s">
        <v>210</v>
      </c>
    </row>
    <row r="23" spans="1:19" x14ac:dyDescent="0.55000000000000004">
      <c r="A23" t="s">
        <v>143</v>
      </c>
      <c r="B23" s="84">
        <v>1040.8031325300001</v>
      </c>
      <c r="C23" s="36">
        <v>1425.9726743040001</v>
      </c>
      <c r="D23" s="36">
        <v>2.4536530747609144</v>
      </c>
      <c r="L23" t="s">
        <v>143</v>
      </c>
      <c r="M23" s="84">
        <v>98.994013804981492</v>
      </c>
      <c r="N23" s="36">
        <v>354.98429504000001</v>
      </c>
      <c r="O23" s="36">
        <v>1.2797008076190477</v>
      </c>
    </row>
    <row r="24" spans="1:19" x14ac:dyDescent="0.55000000000000004">
      <c r="A24" t="s">
        <v>204</v>
      </c>
      <c r="B24" s="84">
        <v>984.82810270000004</v>
      </c>
      <c r="C24" s="36">
        <v>1376.1365616000001</v>
      </c>
      <c r="D24" s="36">
        <v>0.38146543634095637</v>
      </c>
      <c r="L24" t="s">
        <v>204</v>
      </c>
      <c r="M24" s="84">
        <v>71.096994791179895</v>
      </c>
      <c r="N24" s="36">
        <v>308.96088320000001</v>
      </c>
      <c r="O24" s="36">
        <v>0.18390528761904762</v>
      </c>
    </row>
    <row r="25" spans="1:19" x14ac:dyDescent="0.55000000000000004">
      <c r="A25" t="s">
        <v>200</v>
      </c>
      <c r="B25" s="36">
        <v>3.1348512199999998</v>
      </c>
      <c r="C25" s="117">
        <v>0.18715680000000001</v>
      </c>
      <c r="D25" s="36">
        <v>1.0894782536382537E-3</v>
      </c>
      <c r="L25" t="s">
        <v>200</v>
      </c>
      <c r="M25" s="36">
        <v>0.17160894260000001</v>
      </c>
      <c r="N25" s="117">
        <v>2.6541760000000001E-2</v>
      </c>
      <c r="O25" s="36">
        <v>4.7396E-4</v>
      </c>
    </row>
    <row r="26" spans="1:19" x14ac:dyDescent="0.55000000000000004">
      <c r="A26" t="s">
        <v>201</v>
      </c>
      <c r="B26" s="36">
        <v>1363195.4961392982</v>
      </c>
      <c r="C26" s="36">
        <v>546303.73392383999</v>
      </c>
      <c r="D26" s="36">
        <v>6114.0332784139709</v>
      </c>
      <c r="L26" t="s">
        <v>201</v>
      </c>
      <c r="M26" s="36">
        <v>629841.02265571046</v>
      </c>
      <c r="N26" s="36">
        <v>431332.82811904</v>
      </c>
      <c r="O26" s="36">
        <v>1551.5569356799999</v>
      </c>
    </row>
    <row r="27" spans="1:19" x14ac:dyDescent="0.55000000000000004">
      <c r="A27" t="s">
        <v>174</v>
      </c>
      <c r="B27" s="36">
        <v>0.21558531950000001</v>
      </c>
      <c r="C27" s="36">
        <v>0.18715680000000001</v>
      </c>
      <c r="D27" s="36">
        <v>1.0894782536382537E-3</v>
      </c>
      <c r="L27" t="s">
        <v>174</v>
      </c>
      <c r="M27" s="36">
        <v>6.6999678879999996E-2</v>
      </c>
      <c r="N27" s="36">
        <v>2.6541760000000001E-2</v>
      </c>
      <c r="O27" s="36">
        <v>4.7396E-4</v>
      </c>
    </row>
    <row r="28" spans="1:19" x14ac:dyDescent="0.55000000000000004">
      <c r="E28" s="36"/>
    </row>
    <row r="29" spans="1:19" x14ac:dyDescent="0.55000000000000004">
      <c r="B29" s="36"/>
      <c r="E29" s="36"/>
    </row>
    <row r="30" spans="1:19" x14ac:dyDescent="0.55000000000000004">
      <c r="B30" s="36"/>
      <c r="E30" s="36"/>
    </row>
    <row r="46" spans="1:2" x14ac:dyDescent="0.55000000000000004">
      <c r="A46" t="str">
        <f>A15</f>
        <v>Memory Bandwidth (B/s)</v>
      </c>
      <c r="B46">
        <f>B15</f>
        <v>12800000000</v>
      </c>
    </row>
    <row r="47" spans="1:2" x14ac:dyDescent="0.55000000000000004">
      <c r="A47">
        <f t="shared" ref="A47:B51" si="2">A20</f>
        <v>0</v>
      </c>
      <c r="B47">
        <f t="shared" si="2"/>
        <v>0</v>
      </c>
    </row>
    <row r="48" spans="1:2" x14ac:dyDescent="0.55000000000000004">
      <c r="A48" t="str">
        <f t="shared" si="2"/>
        <v>Copied Here for Plotting</v>
      </c>
      <c r="B48">
        <f t="shared" si="2"/>
        <v>0</v>
      </c>
    </row>
    <row r="49" spans="1:2" x14ac:dyDescent="0.55000000000000004">
      <c r="A49" t="str">
        <f t="shared" si="2"/>
        <v>Algorithm Times</v>
      </c>
      <c r="B49" t="str">
        <f t="shared" si="2"/>
        <v>Measured</v>
      </c>
    </row>
    <row r="50" spans="1:2" x14ac:dyDescent="0.55000000000000004">
      <c r="A50" t="str">
        <f t="shared" si="2"/>
        <v>EFC</v>
      </c>
      <c r="B50">
        <f t="shared" si="2"/>
        <v>1040.8031325300001</v>
      </c>
    </row>
    <row r="51" spans="1:2" x14ac:dyDescent="0.55000000000000004">
      <c r="A51" t="str">
        <f t="shared" si="2"/>
        <v>EFC with new regularization</v>
      </c>
      <c r="B51">
        <f t="shared" si="2"/>
        <v>984.82810270000004</v>
      </c>
    </row>
  </sheetData>
  <mergeCells count="8">
    <mergeCell ref="A21:D21"/>
    <mergeCell ref="L1:T1"/>
    <mergeCell ref="L2:R2"/>
    <mergeCell ref="L12:R12"/>
    <mergeCell ref="L21:O21"/>
    <mergeCell ref="A1:I1"/>
    <mergeCell ref="A2:G2"/>
    <mergeCell ref="A12:G1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Top Level Case Parameters</vt:lpstr>
      <vt:lpstr>RESULTS - Metrics Requirements</vt:lpstr>
      <vt:lpstr>RESULTS - Metrics Time</vt:lpstr>
      <vt:lpstr>RESULTS - Benchmark Time</vt:lpstr>
      <vt:lpstr>RESULTS - Benchmark Requirement</vt:lpstr>
      <vt:lpstr>Processor Benchmarks</vt:lpstr>
      <vt:lpstr>Real Processor Metrics</vt:lpstr>
      <vt:lpstr>HITL 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Belsten</dc:creator>
  <cp:lastModifiedBy>Nicholas Belsten</cp:lastModifiedBy>
  <dcterms:created xsi:type="dcterms:W3CDTF">2025-01-07T19:39:34Z</dcterms:created>
  <dcterms:modified xsi:type="dcterms:W3CDTF">2025-03-23T20:14:45Z</dcterms:modified>
</cp:coreProperties>
</file>