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BD\charge transition level\"/>
    </mc:Choice>
  </mc:AlternateContent>
  <bookViews>
    <workbookView xWindow="0" yWindow="0" windowWidth="11685" windowHeight="6900" tabRatio="993"/>
  </bookViews>
  <sheets>
    <sheet name="Sheet11" sheetId="1" r:id="rId1"/>
    <sheet name="Sheet2" sheetId="2" r:id="rId2"/>
    <sheet name="Sheet1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39" i="1" l="1"/>
  <c r="M103" i="1" l="1"/>
  <c r="M100" i="1"/>
  <c r="M88" i="1"/>
  <c r="M85" i="1"/>
  <c r="M73" i="1"/>
  <c r="M70" i="1"/>
  <c r="M58" i="1"/>
  <c r="M55" i="1"/>
  <c r="M43" i="1"/>
  <c r="M40" i="1"/>
  <c r="M28" i="1"/>
  <c r="M25" i="1"/>
  <c r="M13" i="1"/>
  <c r="M10" i="1"/>
  <c r="K103" i="1" l="1"/>
  <c r="K100" i="1"/>
  <c r="K58" i="1"/>
  <c r="K55" i="1"/>
  <c r="K43" i="1"/>
  <c r="K40" i="1"/>
  <c r="K28" i="1"/>
  <c r="K25" i="1"/>
  <c r="K13" i="1"/>
  <c r="K10" i="1"/>
  <c r="F26" i="3"/>
  <c r="C26" i="3"/>
  <c r="F24" i="3"/>
  <c r="C24" i="3"/>
  <c r="F22" i="3"/>
  <c r="C22" i="3"/>
  <c r="I18" i="3"/>
  <c r="F18" i="3"/>
  <c r="J18" i="3" s="1"/>
  <c r="L18" i="3" s="1"/>
  <c r="C18" i="3"/>
  <c r="J16" i="3"/>
  <c r="F16" i="3"/>
  <c r="C16" i="3"/>
  <c r="I16" i="3" s="1"/>
  <c r="L16" i="3" s="1"/>
  <c r="F14" i="3"/>
  <c r="J14" i="3" s="1"/>
  <c r="L14" i="3" s="1"/>
  <c r="C14" i="3"/>
  <c r="I14" i="3" s="1"/>
  <c r="F12" i="3"/>
  <c r="J12" i="3" s="1"/>
  <c r="C12" i="3"/>
  <c r="I12" i="3" s="1"/>
  <c r="I10" i="3"/>
  <c r="F10" i="3"/>
  <c r="J10" i="3" s="1"/>
  <c r="L10" i="3" s="1"/>
  <c r="C10" i="3"/>
  <c r="J8" i="3"/>
  <c r="F8" i="3"/>
  <c r="J26" i="3" s="1"/>
  <c r="C8" i="3"/>
  <c r="I8" i="3" s="1"/>
  <c r="F6" i="3"/>
  <c r="J24" i="3" s="1"/>
  <c r="C6" i="3"/>
  <c r="I24" i="3" s="1"/>
  <c r="F4" i="3"/>
  <c r="J4" i="3" s="1"/>
  <c r="C4" i="3"/>
  <c r="I4" i="3" s="1"/>
  <c r="B147" i="1"/>
  <c r="E143" i="1"/>
  <c r="B143" i="1"/>
  <c r="I139" i="1"/>
  <c r="E139" i="1"/>
  <c r="L135" i="1"/>
  <c r="I135" i="1"/>
  <c r="E135" i="1"/>
  <c r="L134" i="1"/>
  <c r="I134" i="1"/>
  <c r="E134" i="1"/>
  <c r="B134" i="1"/>
  <c r="I97" i="1"/>
  <c r="H97" i="1"/>
  <c r="G97" i="1"/>
  <c r="C97" i="1"/>
  <c r="B97" i="1"/>
  <c r="A97" i="1"/>
  <c r="L94" i="1"/>
  <c r="K94" i="1"/>
  <c r="J94" i="1"/>
  <c r="I94" i="1"/>
  <c r="H94" i="1"/>
  <c r="G94" i="1"/>
  <c r="F94" i="1"/>
  <c r="E94" i="1"/>
  <c r="C94" i="1"/>
  <c r="B94" i="1"/>
  <c r="A94" i="1"/>
  <c r="I82" i="1"/>
  <c r="H82" i="1"/>
  <c r="G82" i="1"/>
  <c r="D82" i="1"/>
  <c r="D97" i="1" s="1"/>
  <c r="I67" i="1"/>
  <c r="H67" i="1"/>
  <c r="G67" i="1"/>
  <c r="F67" i="1"/>
  <c r="D67" i="1"/>
  <c r="C67" i="1"/>
  <c r="B67" i="1"/>
  <c r="A67" i="1"/>
  <c r="Q64" i="1"/>
  <c r="O64" i="1"/>
  <c r="F64" i="1"/>
  <c r="E64" i="1"/>
  <c r="D64" i="1"/>
  <c r="C64" i="1"/>
  <c r="B64" i="1"/>
  <c r="A64" i="1"/>
  <c r="J58" i="1"/>
  <c r="G58" i="1"/>
  <c r="D58" i="1"/>
  <c r="A58" i="1"/>
  <c r="R55" i="1"/>
  <c r="Q55" i="1"/>
  <c r="P55" i="1"/>
  <c r="S55" i="1" s="1"/>
  <c r="O55" i="1"/>
  <c r="J55" i="1"/>
  <c r="G55" i="1"/>
  <c r="D55" i="1"/>
  <c r="A55" i="1"/>
  <c r="Q54" i="1"/>
  <c r="P54" i="1"/>
  <c r="S54" i="1" s="1"/>
  <c r="O54" i="1"/>
  <c r="S53" i="1"/>
  <c r="Q53" i="1"/>
  <c r="Q49" i="1" s="1"/>
  <c r="P53" i="1"/>
  <c r="O53" i="1"/>
  <c r="O49" i="1" s="1"/>
  <c r="O52" i="1" s="1"/>
  <c r="B53" i="1"/>
  <c r="Q52" i="1"/>
  <c r="I52" i="1"/>
  <c r="H52" i="1"/>
  <c r="G52" i="1"/>
  <c r="C52" i="1"/>
  <c r="B52" i="1"/>
  <c r="A52" i="1"/>
  <c r="Q51" i="1"/>
  <c r="Q50" i="1"/>
  <c r="P50" i="1"/>
  <c r="P49" i="1"/>
  <c r="S49" i="1" s="1"/>
  <c r="L49" i="1"/>
  <c r="K49" i="1"/>
  <c r="J49" i="1"/>
  <c r="I49" i="1"/>
  <c r="H49" i="1"/>
  <c r="G49" i="1"/>
  <c r="F49" i="1"/>
  <c r="E49" i="1"/>
  <c r="D49" i="1"/>
  <c r="C49" i="1"/>
  <c r="B49" i="1"/>
  <c r="A49" i="1"/>
  <c r="Q48" i="1"/>
  <c r="P48" i="1"/>
  <c r="S48" i="1" s="1"/>
  <c r="O46" i="1"/>
  <c r="J46" i="1"/>
  <c r="D46" i="1"/>
  <c r="A46" i="1"/>
  <c r="Q44" i="1"/>
  <c r="P44" i="1"/>
  <c r="S44" i="1" s="1"/>
  <c r="O44" i="1"/>
  <c r="Q43" i="1"/>
  <c r="Q46" i="1" s="1"/>
  <c r="P43" i="1"/>
  <c r="P46" i="1" s="1"/>
  <c r="R46" i="1" s="1"/>
  <c r="O43" i="1"/>
  <c r="E43" i="1"/>
  <c r="B43" i="1" s="1"/>
  <c r="E40" i="1"/>
  <c r="C38" i="1"/>
  <c r="B38" i="1"/>
  <c r="A38" i="1"/>
  <c r="L37" i="1"/>
  <c r="K37" i="1"/>
  <c r="J37" i="1"/>
  <c r="I37" i="1"/>
  <c r="H37" i="1"/>
  <c r="H43" i="1" s="1"/>
  <c r="G37" i="1"/>
  <c r="F37" i="1"/>
  <c r="E37" i="1"/>
  <c r="D37" i="1"/>
  <c r="S36" i="1"/>
  <c r="R36" i="1"/>
  <c r="S35" i="1"/>
  <c r="P35" i="1"/>
  <c r="R35" i="1" s="1"/>
  <c r="C35" i="1"/>
  <c r="B35" i="1"/>
  <c r="A35" i="1"/>
  <c r="S34" i="1"/>
  <c r="R34" i="1"/>
  <c r="S33" i="1"/>
  <c r="R33" i="1"/>
  <c r="O33" i="1"/>
  <c r="O48" i="1" s="1"/>
  <c r="S32" i="1"/>
  <c r="R32" i="1"/>
  <c r="S31" i="1"/>
  <c r="P31" i="1"/>
  <c r="O31" i="1"/>
  <c r="O50" i="1" s="1"/>
  <c r="O51" i="1" s="1"/>
  <c r="U25" i="1"/>
  <c r="U23" i="1"/>
  <c r="C23" i="1"/>
  <c r="B23" i="1"/>
  <c r="B83" i="1" s="1"/>
  <c r="B98" i="1" s="1"/>
  <c r="A23" i="1"/>
  <c r="L22" i="1"/>
  <c r="L52" i="1" s="1"/>
  <c r="L67" i="1" s="1"/>
  <c r="K22" i="1"/>
  <c r="K52" i="1" s="1"/>
  <c r="K67" i="1" s="1"/>
  <c r="K82" i="1" s="1"/>
  <c r="K97" i="1" s="1"/>
  <c r="J22" i="1"/>
  <c r="J52" i="1" s="1"/>
  <c r="J67" i="1" s="1"/>
  <c r="I22" i="1"/>
  <c r="H22" i="1"/>
  <c r="H28" i="1" s="1"/>
  <c r="G22" i="1"/>
  <c r="E25" i="1" s="1"/>
  <c r="F22" i="1"/>
  <c r="F82" i="1" s="1"/>
  <c r="F97" i="1" s="1"/>
  <c r="E22" i="1"/>
  <c r="E82" i="1" s="1"/>
  <c r="E97" i="1" s="1"/>
  <c r="D22" i="1"/>
  <c r="D52" i="1" s="1"/>
  <c r="U20" i="1"/>
  <c r="C20" i="1"/>
  <c r="C80" i="1" s="1"/>
  <c r="C95" i="1" s="1"/>
  <c r="B20" i="1"/>
  <c r="B80" i="1" s="1"/>
  <c r="B95" i="1" s="1"/>
  <c r="A20" i="1"/>
  <c r="A80" i="1" s="1"/>
  <c r="A95" i="1" s="1"/>
  <c r="U17" i="1"/>
  <c r="U16" i="1"/>
  <c r="H13" i="1"/>
  <c r="O74" i="1" s="1"/>
  <c r="T74" i="1" s="1"/>
  <c r="C8" i="1"/>
  <c r="C68" i="1" s="1"/>
  <c r="B8" i="1"/>
  <c r="B68" i="1" s="1"/>
  <c r="A8" i="1"/>
  <c r="A68" i="1" s="1"/>
  <c r="I7" i="1"/>
  <c r="H7" i="1"/>
  <c r="H10" i="1" s="1"/>
  <c r="M7" i="1" s="1"/>
  <c r="G7" i="1"/>
  <c r="E13" i="1" s="1"/>
  <c r="B13" i="1" s="1"/>
  <c r="F7" i="1"/>
  <c r="E7" i="1"/>
  <c r="E67" i="1" s="1"/>
  <c r="D7" i="1"/>
  <c r="C5" i="1"/>
  <c r="C65" i="1" s="1"/>
  <c r="B5" i="1"/>
  <c r="B65" i="1" s="1"/>
  <c r="A5" i="1"/>
  <c r="A65" i="1" s="1"/>
  <c r="O38" i="1" l="1"/>
  <c r="O39" i="1" s="1"/>
  <c r="O37" i="1"/>
  <c r="O40" i="1" s="1"/>
  <c r="P77" i="1"/>
  <c r="U77" i="1" s="1"/>
  <c r="P80" i="1"/>
  <c r="U80" i="1" s="1"/>
  <c r="L82" i="1"/>
  <c r="K70" i="1"/>
  <c r="J82" i="1"/>
  <c r="E70" i="1"/>
  <c r="P52" i="1"/>
  <c r="S50" i="1"/>
  <c r="P51" i="1"/>
  <c r="R49" i="1"/>
  <c r="E73" i="1"/>
  <c r="B73" i="1" s="1"/>
  <c r="P74" i="1"/>
  <c r="E85" i="1"/>
  <c r="L24" i="3"/>
  <c r="L12" i="3"/>
  <c r="E10" i="1"/>
  <c r="B10" i="1" s="1"/>
  <c r="M4" i="1" s="1"/>
  <c r="A53" i="1"/>
  <c r="E58" i="1" s="1"/>
  <c r="A83" i="1"/>
  <c r="A98" i="1" s="1"/>
  <c r="R31" i="1"/>
  <c r="S43" i="1"/>
  <c r="R44" i="1"/>
  <c r="R48" i="1"/>
  <c r="A50" i="1"/>
  <c r="E55" i="1" s="1"/>
  <c r="R50" i="1"/>
  <c r="F52" i="1"/>
  <c r="H70" i="1"/>
  <c r="M67" i="1" s="1"/>
  <c r="H88" i="1"/>
  <c r="I22" i="3"/>
  <c r="I26" i="3"/>
  <c r="L8" i="3"/>
  <c r="C53" i="1"/>
  <c r="C83" i="1"/>
  <c r="C98" i="1" s="1"/>
  <c r="H58" i="1"/>
  <c r="Q38" i="1"/>
  <c r="Q39" i="1" s="1"/>
  <c r="Q37" i="1"/>
  <c r="Q40" i="1" s="1"/>
  <c r="R53" i="1"/>
  <c r="H25" i="1"/>
  <c r="O83" i="1"/>
  <c r="T83" i="1" s="1"/>
  <c r="B40" i="1"/>
  <c r="M34" i="1" s="1"/>
  <c r="S46" i="1"/>
  <c r="C50" i="1"/>
  <c r="R54" i="1"/>
  <c r="K73" i="1"/>
  <c r="H73" i="1"/>
  <c r="H103" i="1"/>
  <c r="L4" i="3"/>
  <c r="J22" i="3"/>
  <c r="L22" i="3" s="1"/>
  <c r="L26" i="3"/>
  <c r="H85" i="1"/>
  <c r="M82" i="1" s="1"/>
  <c r="E28" i="1"/>
  <c r="B28" i="1" s="1"/>
  <c r="R43" i="1"/>
  <c r="B50" i="1"/>
  <c r="H55" i="1" s="1"/>
  <c r="M52" i="1" s="1"/>
  <c r="E52" i="1"/>
  <c r="H100" i="1"/>
  <c r="M97" i="1" s="1"/>
  <c r="I6" i="3"/>
  <c r="J6" i="3"/>
  <c r="H40" i="1"/>
  <c r="O41" i="1"/>
  <c r="B55" i="1" l="1"/>
  <c r="M49" i="1" s="1"/>
  <c r="O80" i="1"/>
  <c r="M22" i="1"/>
  <c r="O77" i="1"/>
  <c r="L6" i="3"/>
  <c r="Q42" i="1"/>
  <c r="Q45" i="1"/>
  <c r="B85" i="1"/>
  <c r="M79" i="1" s="1"/>
  <c r="R52" i="1"/>
  <c r="S52" i="1"/>
  <c r="P38" i="1"/>
  <c r="P39" i="1" s="1"/>
  <c r="P37" i="1"/>
  <c r="P40" i="1" s="1"/>
  <c r="J97" i="1"/>
  <c r="E88" i="1"/>
  <c r="B88" i="1" s="1"/>
  <c r="Q41" i="1"/>
  <c r="S39" i="1"/>
  <c r="Q74" i="1"/>
  <c r="U74" i="1"/>
  <c r="R51" i="1"/>
  <c r="S51" i="1"/>
  <c r="B25" i="1"/>
  <c r="M19" i="1" s="1"/>
  <c r="L97" i="1"/>
  <c r="K88" i="1"/>
  <c r="O45" i="1"/>
  <c r="O42" i="1"/>
  <c r="P83" i="1"/>
  <c r="M37" i="1"/>
  <c r="K85" i="1"/>
  <c r="B58" i="1"/>
  <c r="B70" i="1"/>
  <c r="M64" i="1" s="1"/>
  <c r="T80" i="1" l="1"/>
  <c r="Q80" i="1"/>
  <c r="R38" i="1"/>
  <c r="R37" i="1"/>
  <c r="R39" i="1"/>
  <c r="P41" i="1"/>
  <c r="Q83" i="1"/>
  <c r="U83" i="1"/>
  <c r="S38" i="1"/>
  <c r="S37" i="1"/>
  <c r="S40" i="1" s="1"/>
  <c r="E100" i="1"/>
  <c r="B100" i="1" s="1"/>
  <c r="M94" i="1" s="1"/>
  <c r="E103" i="1"/>
  <c r="B103" i="1" s="1"/>
  <c r="P45" i="1"/>
  <c r="R40" i="1"/>
  <c r="P42" i="1"/>
  <c r="T77" i="1"/>
  <c r="Q77" i="1"/>
  <c r="S41" i="1" l="1"/>
  <c r="R41" i="1"/>
  <c r="R42" i="1"/>
  <c r="S42" i="1"/>
  <c r="R45" i="1"/>
  <c r="S45" i="1"/>
</calcChain>
</file>

<file path=xl/sharedStrings.xml><?xml version="1.0" encoding="utf-8"?>
<sst xmlns="http://schemas.openxmlformats.org/spreadsheetml/2006/main" count="311" uniqueCount="124">
  <si>
    <r>
      <rPr>
        <b/>
        <sz val="12"/>
        <color rgb="FF000000"/>
        <rFont val="Times New Roman"/>
        <family val="1"/>
        <charset val="1"/>
      </rPr>
      <t>μ</t>
    </r>
    <r>
      <rPr>
        <b/>
        <sz val="12"/>
        <color rgb="FF000000"/>
        <rFont val="宋体"/>
        <family val="3"/>
        <charset val="134"/>
      </rPr>
      <t>pb(</t>
    </r>
    <r>
      <rPr>
        <b/>
        <sz val="12"/>
        <color rgb="FFFF0000"/>
        <rFont val="宋体"/>
        <family val="3"/>
        <charset val="134"/>
      </rPr>
      <t>Pb-poor</t>
    </r>
    <r>
      <rPr>
        <b/>
        <sz val="12"/>
        <color rgb="FF000000"/>
        <rFont val="宋体"/>
        <family val="3"/>
        <charset val="134"/>
      </rPr>
      <t>, Pb-rich)</t>
    </r>
  </si>
  <si>
    <t>Pb(Bulk)</t>
  </si>
  <si>
    <t>E(Vpb_1)</t>
  </si>
  <si>
    <r>
      <rPr>
        <b/>
        <sz val="11"/>
        <color rgb="FF000000"/>
        <rFont val="宋体"/>
        <family val="3"/>
        <charset val="134"/>
      </rPr>
      <t>E(MAPbI</t>
    </r>
    <r>
      <rPr>
        <b/>
        <sz val="8"/>
        <color rgb="FF000000"/>
        <rFont val="宋体"/>
        <family val="3"/>
        <charset val="134"/>
      </rPr>
      <t>3</t>
    </r>
    <r>
      <rPr>
        <b/>
        <sz val="11"/>
        <color rgb="FF000000"/>
        <rFont val="宋体"/>
        <family val="3"/>
        <charset val="134"/>
      </rPr>
      <t>)perfect</t>
    </r>
  </si>
  <si>
    <t>Molecule</t>
  </si>
  <si>
    <t>MBD</t>
  </si>
  <si>
    <t>PBE</t>
  </si>
  <si>
    <t>TS</t>
  </si>
  <si>
    <t>PBE+MBD</t>
  </si>
  <si>
    <t>PBE+TS</t>
  </si>
  <si>
    <t>MAPbI3</t>
  </si>
  <si>
    <t>MA</t>
  </si>
  <si>
    <t>I</t>
  </si>
  <si>
    <t>Pb</t>
  </si>
  <si>
    <t>PbI2</t>
  </si>
  <si>
    <t>MAI</t>
  </si>
  <si>
    <t>μ*I(I-poor)</t>
  </si>
  <si>
    <t>μ*pb(Pb-poor)</t>
  </si>
  <si>
    <r>
      <rPr>
        <b/>
        <sz val="11"/>
        <color rgb="FF000000"/>
        <rFont val="宋体"/>
        <family val="3"/>
        <charset val="134"/>
      </rPr>
      <t>Ef</t>
    </r>
    <r>
      <rPr>
        <sz val="11"/>
        <color rgb="FF000000"/>
        <rFont val="宋体"/>
        <family val="3"/>
        <charset val="134"/>
      </rPr>
      <t>(MBD+PBE)
Pb-poor</t>
    </r>
  </si>
  <si>
    <t>MBD
Pb-poor</t>
  </si>
  <si>
    <t>PBE
Pb-poor</t>
  </si>
  <si>
    <t>TS
Pb-poor</t>
  </si>
  <si>
    <t>(Pb)p</t>
  </si>
  <si>
    <t>(I)p(PbI2)</t>
  </si>
  <si>
    <t>(MA)l</t>
  </si>
  <si>
    <r>
      <rPr>
        <b/>
        <sz val="11"/>
        <color rgb="FF000000"/>
        <rFont val="宋体"/>
        <family val="3"/>
        <charset val="134"/>
      </rPr>
      <t>Ef</t>
    </r>
    <r>
      <rPr>
        <sz val="11"/>
        <color rgb="FF000000"/>
        <rFont val="宋体"/>
        <family val="3"/>
        <charset val="134"/>
      </rPr>
      <t>(MBD+PBE)
Pb-rich</t>
    </r>
  </si>
  <si>
    <t>MBD
Pb-rich</t>
  </si>
  <si>
    <t>PBE
Pb-rich</t>
  </si>
  <si>
    <t>TS
Pb-rich</t>
  </si>
  <si>
    <t>(MA)r</t>
  </si>
  <si>
    <t>(I)r(PbI2)</t>
  </si>
  <si>
    <t>(Pb)r</t>
  </si>
  <si>
    <r>
      <rPr>
        <b/>
        <sz val="12"/>
        <color rgb="FF000000"/>
        <rFont val="Times New Roman"/>
        <family val="1"/>
        <charset val="1"/>
      </rPr>
      <t>μ</t>
    </r>
    <r>
      <rPr>
        <b/>
        <sz val="12"/>
        <color rgb="FF000000"/>
        <rFont val="宋体"/>
        <family val="3"/>
        <charset val="134"/>
      </rPr>
      <t>I(</t>
    </r>
    <r>
      <rPr>
        <b/>
        <sz val="12"/>
        <color rgb="FFFF0000"/>
        <rFont val="宋体"/>
        <family val="3"/>
        <charset val="134"/>
      </rPr>
      <t>I-poor</t>
    </r>
    <r>
      <rPr>
        <b/>
        <sz val="12"/>
        <color rgb="FF000000"/>
        <rFont val="宋体"/>
        <family val="3"/>
        <charset val="134"/>
      </rPr>
      <t>, I-rich)</t>
    </r>
  </si>
  <si>
    <t>I(Bulk)</t>
  </si>
  <si>
    <r>
      <rPr>
        <b/>
        <sz val="11"/>
        <color rgb="FF000000"/>
        <rFont val="宋体"/>
        <family val="3"/>
        <charset val="134"/>
      </rPr>
      <t>E(V</t>
    </r>
    <r>
      <rPr>
        <b/>
        <sz val="9"/>
        <color rgb="FF000000"/>
        <rFont val="宋体"/>
        <family val="3"/>
        <charset val="134"/>
      </rPr>
      <t>I_2</t>
    </r>
    <r>
      <rPr>
        <b/>
        <sz val="11"/>
        <color rgb="FF000000"/>
        <rFont val="宋体"/>
        <family val="3"/>
        <charset val="134"/>
      </rPr>
      <t>)</t>
    </r>
  </si>
  <si>
    <t>(I)p(MAI)</t>
  </si>
  <si>
    <t>(I)r(MAI)</t>
  </si>
  <si>
    <t>MAI(single Molecule)</t>
  </si>
  <si>
    <t>E(PbI2)</t>
  </si>
  <si>
    <t>E(MAI)</t>
  </si>
  <si>
    <t>E(MAPbI3)</t>
  </si>
  <si>
    <t>Ethlapy(MAPbI3)</t>
  </si>
  <si>
    <t>E(MAPbI3)-E(MAI)</t>
  </si>
  <si>
    <t>The total energy of H2</t>
  </si>
  <si>
    <r>
      <rPr>
        <b/>
        <sz val="11"/>
        <color rgb="FF000000"/>
        <rFont val="宋体"/>
        <family val="3"/>
        <charset val="134"/>
      </rPr>
      <t>Ef</t>
    </r>
    <r>
      <rPr>
        <sz val="11"/>
        <color rgb="FF000000"/>
        <rFont val="宋体"/>
        <family val="3"/>
        <charset val="134"/>
      </rPr>
      <t>(MBD+PBE)
I-poor</t>
    </r>
  </si>
  <si>
    <t>MBD
I-poor</t>
  </si>
  <si>
    <t>PBE
I-poor</t>
  </si>
  <si>
    <t>TS
I-poor</t>
  </si>
  <si>
    <t>The total energy of C</t>
  </si>
  <si>
    <t>The total energy of N2</t>
  </si>
  <si>
    <r>
      <rPr>
        <b/>
        <sz val="11"/>
        <color rgb="FF000000"/>
        <rFont val="宋体"/>
        <family val="3"/>
        <charset val="134"/>
      </rPr>
      <t>Ef</t>
    </r>
    <r>
      <rPr>
        <sz val="11"/>
        <color rgb="FF000000"/>
        <rFont val="宋体"/>
        <family val="3"/>
        <charset val="134"/>
      </rPr>
      <t>(MBD+PBE)
I-rich</t>
    </r>
  </si>
  <si>
    <t>MBD
I-rich</t>
  </si>
  <si>
    <t>PBE
I-rich</t>
  </si>
  <si>
    <t>TS
I-rich</t>
  </si>
  <si>
    <t>MA(One Molecule)</t>
  </si>
  <si>
    <t>SCS</t>
  </si>
  <si>
    <t>PBE+SCS</t>
  </si>
  <si>
    <r>
      <rPr>
        <b/>
        <sz val="11"/>
        <color rgb="FF000000"/>
        <rFont val="宋体"/>
        <family val="3"/>
        <charset val="134"/>
      </rPr>
      <t>μ</t>
    </r>
    <r>
      <rPr>
        <b/>
        <sz val="12"/>
        <color rgb="FF000000"/>
        <rFont val="宋体"/>
        <family val="3"/>
        <charset val="134"/>
      </rPr>
      <t>MA(</t>
    </r>
    <r>
      <rPr>
        <b/>
        <sz val="12"/>
        <color rgb="FFFF0000"/>
        <rFont val="宋体"/>
        <family val="3"/>
        <charset val="134"/>
      </rPr>
      <t>Pb-poor</t>
    </r>
    <r>
      <rPr>
        <b/>
        <sz val="12"/>
        <color rgb="FF000000"/>
        <rFont val="宋体"/>
        <family val="3"/>
        <charset val="134"/>
      </rPr>
      <t>, I-poor)</t>
    </r>
  </si>
  <si>
    <t>MA(Four Molecule)</t>
  </si>
  <si>
    <t>E(Vma_1)</t>
  </si>
  <si>
    <t>u*I(I-poor)</t>
  </si>
  <si>
    <t>u*pb(Pb-poor)</t>
  </si>
  <si>
    <r>
      <rPr>
        <sz val="11"/>
        <color rgb="FF000000"/>
        <rFont val="Times New Roman"/>
        <family val="1"/>
        <charset val="1"/>
      </rPr>
      <t>μ</t>
    </r>
    <r>
      <rPr>
        <sz val="11"/>
        <color rgb="FF000000"/>
        <rFont val="宋体"/>
        <family val="3"/>
        <charset val="134"/>
      </rPr>
      <t>(Pb)p</t>
    </r>
  </si>
  <si>
    <r>
      <rPr>
        <sz val="11"/>
        <color rgb="FF000000"/>
        <rFont val="Times New Roman"/>
        <family val="1"/>
        <charset val="1"/>
      </rPr>
      <t>μ</t>
    </r>
    <r>
      <rPr>
        <sz val="11"/>
        <color rgb="FF000000"/>
        <rFont val="宋体"/>
        <family val="3"/>
        <charset val="134"/>
      </rPr>
      <t>(I)p(PbI</t>
    </r>
    <r>
      <rPr>
        <sz val="10"/>
        <color rgb="FF000000"/>
        <rFont val="宋体"/>
        <family val="3"/>
        <charset val="134"/>
      </rPr>
      <t>2</t>
    </r>
    <r>
      <rPr>
        <sz val="11"/>
        <color rgb="FF000000"/>
        <rFont val="宋体"/>
        <family val="3"/>
        <charset val="134"/>
      </rPr>
      <t>)</t>
    </r>
  </si>
  <si>
    <r>
      <rPr>
        <sz val="11"/>
        <color rgb="FF000000"/>
        <rFont val="Times New Roman"/>
        <family val="1"/>
        <charset val="1"/>
      </rPr>
      <t>μ</t>
    </r>
    <r>
      <rPr>
        <sz val="11"/>
        <color rgb="FF000000"/>
        <rFont val="宋体"/>
        <family val="3"/>
        <charset val="134"/>
      </rPr>
      <t>(MA)l</t>
    </r>
  </si>
  <si>
    <r>
      <rPr>
        <sz val="11"/>
        <color rgb="FF000000"/>
        <rFont val="Times New Roman"/>
        <family val="1"/>
        <charset val="1"/>
      </rPr>
      <t>μ</t>
    </r>
    <r>
      <rPr>
        <sz val="11"/>
        <color rgb="FF000000"/>
        <rFont val="宋体"/>
        <family val="3"/>
        <charset val="134"/>
      </rPr>
      <t>(MA)r</t>
    </r>
  </si>
  <si>
    <r>
      <rPr>
        <sz val="11"/>
        <color rgb="FF000000"/>
        <rFont val="Times New Roman"/>
        <family val="1"/>
        <charset val="1"/>
      </rPr>
      <t>μ</t>
    </r>
    <r>
      <rPr>
        <sz val="11"/>
        <color rgb="FF000000"/>
        <rFont val="宋体"/>
        <family val="3"/>
        <charset val="134"/>
      </rPr>
      <t>(I)r(PbI2)</t>
    </r>
  </si>
  <si>
    <r>
      <rPr>
        <sz val="11"/>
        <color rgb="FF000000"/>
        <rFont val="Times New Roman"/>
        <family val="1"/>
        <charset val="1"/>
      </rPr>
      <t>μ</t>
    </r>
    <r>
      <rPr>
        <sz val="11"/>
        <color rgb="FF000000"/>
        <rFont val="宋体"/>
        <family val="3"/>
        <charset val="134"/>
      </rPr>
      <t>(Pb)r</t>
    </r>
  </si>
  <si>
    <r>
      <rPr>
        <sz val="11"/>
        <color rgb="FF000000"/>
        <rFont val="Times New Roman"/>
        <family val="1"/>
        <charset val="1"/>
      </rPr>
      <t>μ</t>
    </r>
    <r>
      <rPr>
        <sz val="11"/>
        <color rgb="FF000000"/>
        <rFont val="宋体"/>
        <family val="3"/>
        <charset val="134"/>
      </rPr>
      <t>(I)p(MAI)</t>
    </r>
  </si>
  <si>
    <t>E(VI+1)</t>
  </si>
  <si>
    <r>
      <rPr>
        <sz val="11"/>
        <color rgb="FF000000"/>
        <rFont val="Times New Roman"/>
        <family val="1"/>
        <charset val="1"/>
      </rPr>
      <t>μ</t>
    </r>
    <r>
      <rPr>
        <sz val="11"/>
        <color rgb="FF000000"/>
        <rFont val="宋体"/>
        <family val="3"/>
        <charset val="134"/>
      </rPr>
      <t>(I)r(MAI)</t>
    </r>
  </si>
  <si>
    <r>
      <rPr>
        <b/>
        <sz val="11"/>
        <color rgb="FF000000"/>
        <rFont val="宋体"/>
        <family val="3"/>
        <charset val="134"/>
      </rPr>
      <t>E(PbI</t>
    </r>
    <r>
      <rPr>
        <b/>
        <sz val="8"/>
        <color rgb="FF000000"/>
        <rFont val="宋体"/>
        <family val="3"/>
        <charset val="134"/>
      </rPr>
      <t>2</t>
    </r>
    <r>
      <rPr>
        <b/>
        <sz val="11"/>
        <color rgb="FF000000"/>
        <rFont val="宋体"/>
        <family val="3"/>
        <charset val="134"/>
      </rPr>
      <t>)</t>
    </r>
  </si>
  <si>
    <r>
      <rPr>
        <b/>
        <sz val="11"/>
        <color rgb="FF000000"/>
        <rFont val="宋体"/>
        <family val="3"/>
        <charset val="134"/>
      </rPr>
      <t>E(MAPbI</t>
    </r>
    <r>
      <rPr>
        <b/>
        <sz val="8"/>
        <color rgb="FF000000"/>
        <rFont val="宋体"/>
        <family val="3"/>
        <charset val="134"/>
      </rPr>
      <t>3</t>
    </r>
    <r>
      <rPr>
        <b/>
        <sz val="11"/>
        <color rgb="FF000000"/>
        <rFont val="宋体"/>
        <family val="3"/>
        <charset val="134"/>
      </rPr>
      <t>)</t>
    </r>
  </si>
  <si>
    <r>
      <rPr>
        <b/>
        <sz val="10"/>
        <color rgb="FF000000"/>
        <rFont val="宋体"/>
        <family val="3"/>
        <charset val="134"/>
      </rPr>
      <t>Ethlapy(MAPbI</t>
    </r>
    <r>
      <rPr>
        <b/>
        <sz val="8"/>
        <color rgb="FF000000"/>
        <rFont val="宋体"/>
        <family val="3"/>
        <charset val="134"/>
      </rPr>
      <t>3</t>
    </r>
    <r>
      <rPr>
        <b/>
        <sz val="10"/>
        <color rgb="FF000000"/>
        <rFont val="宋体"/>
        <family val="3"/>
        <charset val="134"/>
      </rPr>
      <t>)</t>
    </r>
  </si>
  <si>
    <r>
      <rPr>
        <b/>
        <sz val="10"/>
        <color rgb="FF000000"/>
        <rFont val="宋体"/>
        <family val="3"/>
        <charset val="134"/>
      </rPr>
      <t>E(MAPbI</t>
    </r>
    <r>
      <rPr>
        <b/>
        <sz val="6"/>
        <color rgb="FF000000"/>
        <rFont val="宋体"/>
        <family val="3"/>
        <charset val="134"/>
      </rPr>
      <t>3</t>
    </r>
    <r>
      <rPr>
        <b/>
        <sz val="10"/>
        <color rgb="FF000000"/>
        <rFont val="宋体"/>
        <family val="3"/>
        <charset val="134"/>
      </rPr>
      <t>)-E(MAI)</t>
    </r>
  </si>
  <si>
    <t>Chemical elements</t>
  </si>
  <si>
    <r>
      <rPr>
        <b/>
        <sz val="11"/>
        <color rgb="FF000000"/>
        <rFont val="宋体"/>
        <family val="3"/>
        <charset val="134"/>
      </rPr>
      <t>μ</t>
    </r>
    <r>
      <rPr>
        <b/>
        <sz val="12"/>
        <color rgb="FF000000"/>
        <rFont val="宋体"/>
        <family val="3"/>
        <charset val="134"/>
      </rPr>
      <t>pb(</t>
    </r>
    <r>
      <rPr>
        <b/>
        <sz val="12"/>
        <color rgb="FFFF0000"/>
        <rFont val="宋体"/>
        <family val="3"/>
        <charset val="134"/>
      </rPr>
      <t>Pb-poor</t>
    </r>
    <r>
      <rPr>
        <b/>
        <sz val="12"/>
        <color rgb="FF000000"/>
        <rFont val="宋体"/>
        <family val="3"/>
        <charset val="134"/>
      </rPr>
      <t>, Pb-rich)</t>
    </r>
  </si>
  <si>
    <t>E(Vpb_2)</t>
  </si>
  <si>
    <t>Neutral 
Defect</t>
  </si>
  <si>
    <r>
      <rPr>
        <b/>
        <sz val="11"/>
        <color rgb="FF000000"/>
        <rFont val="宋体"/>
        <family val="3"/>
        <charset val="134"/>
      </rPr>
      <t>E</t>
    </r>
    <r>
      <rPr>
        <b/>
        <i/>
        <sz val="10"/>
        <color rgb="FF000000"/>
        <rFont val="宋体"/>
        <family val="3"/>
        <charset val="134"/>
      </rPr>
      <t>f,</t>
    </r>
    <r>
      <rPr>
        <b/>
        <sz val="10"/>
        <color rgb="FF000000"/>
        <rFont val="宋体"/>
        <family val="3"/>
        <charset val="134"/>
      </rPr>
      <t>(eV)
I-poor
(Pb-rich)</t>
    </r>
  </si>
  <si>
    <r>
      <rPr>
        <b/>
        <sz val="11"/>
        <color rgb="FF000000"/>
        <rFont val="宋体"/>
        <family val="3"/>
        <charset val="134"/>
      </rPr>
      <t>E</t>
    </r>
    <r>
      <rPr>
        <b/>
        <i/>
        <sz val="10"/>
        <color rgb="FF000000"/>
        <rFont val="宋体"/>
        <family val="3"/>
        <charset val="134"/>
      </rPr>
      <t>f,</t>
    </r>
    <r>
      <rPr>
        <b/>
        <sz val="10"/>
        <color rgb="FF000000"/>
        <rFont val="宋体"/>
        <family val="3"/>
        <charset val="134"/>
      </rPr>
      <t>(eV)
I-rich
(Pb-poor)</t>
    </r>
  </si>
  <si>
    <r>
      <rPr>
        <b/>
        <sz val="11"/>
        <color rgb="FF000000"/>
        <rFont val="宋体"/>
        <family val="3"/>
        <charset val="134"/>
      </rPr>
      <t>ΔE</t>
    </r>
    <r>
      <rPr>
        <b/>
        <sz val="9"/>
        <color rgb="FF000000"/>
        <rFont val="宋体"/>
        <family val="3"/>
        <charset val="134"/>
      </rPr>
      <t>f(eV)
I-poor
(Pb-rich)</t>
    </r>
  </si>
  <si>
    <r>
      <rPr>
        <b/>
        <sz val="11"/>
        <color rgb="FF000000"/>
        <rFont val="宋体"/>
        <family val="3"/>
        <charset val="134"/>
      </rPr>
      <t>ΔE</t>
    </r>
    <r>
      <rPr>
        <b/>
        <sz val="9"/>
        <color rgb="FF000000"/>
        <rFont val="宋体"/>
        <family val="3"/>
        <charset val="134"/>
      </rPr>
      <t>f(eV)
I-rich
(Pb-poor)</t>
    </r>
  </si>
  <si>
    <t>Vpb</t>
  </si>
  <si>
    <r>
      <rPr>
        <b/>
        <sz val="11"/>
        <color rgb="FF000000"/>
        <rFont val="宋体"/>
        <family val="3"/>
        <charset val="134"/>
      </rPr>
      <t>E(V</t>
    </r>
    <r>
      <rPr>
        <b/>
        <sz val="9"/>
        <color rgb="FF000000"/>
        <rFont val="宋体"/>
        <family val="3"/>
        <charset val="134"/>
      </rPr>
      <t>I_1</t>
    </r>
    <r>
      <rPr>
        <b/>
        <sz val="11"/>
        <color rgb="FF000000"/>
        <rFont val="宋体"/>
        <family val="3"/>
        <charset val="134"/>
      </rPr>
      <t>)</t>
    </r>
  </si>
  <si>
    <r>
      <rPr>
        <b/>
        <sz val="11"/>
        <color rgb="FF000000"/>
        <rFont val="宋体"/>
        <family val="3"/>
        <charset val="134"/>
      </rPr>
      <t>V</t>
    </r>
    <r>
      <rPr>
        <b/>
        <sz val="8"/>
        <color rgb="FF000000"/>
        <rFont val="宋体"/>
        <family val="3"/>
        <charset val="134"/>
      </rPr>
      <t>I</t>
    </r>
    <r>
      <rPr>
        <b/>
        <sz val="10"/>
        <color rgb="FF000000"/>
        <rFont val="宋体"/>
        <family val="3"/>
        <charset val="134"/>
      </rPr>
      <t>(MAI)</t>
    </r>
  </si>
  <si>
    <r>
      <rPr>
        <b/>
        <sz val="11"/>
        <color rgb="FF000000"/>
        <rFont val="宋体"/>
        <family val="3"/>
        <charset val="134"/>
      </rPr>
      <t>V</t>
    </r>
    <r>
      <rPr>
        <b/>
        <sz val="8"/>
        <color rgb="FF000000"/>
        <rFont val="宋体"/>
        <family val="3"/>
        <charset val="134"/>
      </rPr>
      <t>I</t>
    </r>
    <r>
      <rPr>
        <b/>
        <sz val="11"/>
        <color rgb="FF000000"/>
        <rFont val="宋体"/>
        <family val="3"/>
        <charset val="134"/>
      </rPr>
      <t>(PbI</t>
    </r>
    <r>
      <rPr>
        <b/>
        <sz val="9"/>
        <color rgb="FF000000"/>
        <rFont val="宋体"/>
        <family val="3"/>
        <charset val="134"/>
      </rPr>
      <t>2</t>
    </r>
    <r>
      <rPr>
        <b/>
        <sz val="11"/>
        <color rgb="FF000000"/>
        <rFont val="宋体"/>
        <family val="3"/>
        <charset val="134"/>
      </rPr>
      <t>)</t>
    </r>
  </si>
  <si>
    <t>Vma</t>
  </si>
  <si>
    <r>
      <rPr>
        <b/>
        <sz val="11"/>
        <color rgb="FF000000"/>
        <rFont val="宋体"/>
        <family val="3"/>
        <charset val="134"/>
      </rPr>
      <t>MA</t>
    </r>
    <r>
      <rPr>
        <b/>
        <sz val="8"/>
        <color rgb="FF000000"/>
        <rFont val="宋体"/>
        <family val="3"/>
        <charset val="134"/>
      </rPr>
      <t>i</t>
    </r>
  </si>
  <si>
    <r>
      <rPr>
        <b/>
        <sz val="11"/>
        <color rgb="FF000000"/>
        <rFont val="宋体"/>
        <family val="3"/>
        <charset val="134"/>
      </rPr>
      <t>Pb</t>
    </r>
    <r>
      <rPr>
        <b/>
        <sz val="9"/>
        <color rgb="FF000000"/>
        <rFont val="宋体"/>
        <family val="3"/>
        <charset val="134"/>
      </rPr>
      <t>i</t>
    </r>
  </si>
  <si>
    <r>
      <rPr>
        <b/>
        <sz val="11"/>
        <color rgb="FF000000"/>
        <rFont val="宋体"/>
        <family val="3"/>
        <charset val="134"/>
      </rPr>
      <t>E(V</t>
    </r>
    <r>
      <rPr>
        <b/>
        <sz val="9"/>
        <color rgb="FF000000"/>
        <rFont val="宋体"/>
        <family val="3"/>
        <charset val="134"/>
      </rPr>
      <t>I</t>
    </r>
    <r>
      <rPr>
        <b/>
        <sz val="12"/>
        <color rgb="FF000000"/>
        <rFont val="宋体"/>
        <family val="3"/>
        <charset val="134"/>
      </rPr>
      <t>+2</t>
    </r>
    <r>
      <rPr>
        <b/>
        <sz val="11"/>
        <color rgb="FF000000"/>
        <rFont val="宋体"/>
        <family val="3"/>
        <charset val="134"/>
      </rPr>
      <t>)</t>
    </r>
  </si>
  <si>
    <r>
      <rPr>
        <b/>
        <sz val="11"/>
        <color rgb="FF000000"/>
        <rFont val="宋体"/>
        <family val="3"/>
        <charset val="134"/>
      </rPr>
      <t>I</t>
    </r>
    <r>
      <rPr>
        <b/>
        <sz val="9"/>
        <color rgb="FF000000"/>
        <rFont val="宋体"/>
        <family val="3"/>
        <charset val="134"/>
      </rPr>
      <t>i</t>
    </r>
  </si>
  <si>
    <r>
      <rPr>
        <b/>
        <sz val="11"/>
        <color rgb="FF000000"/>
        <rFont val="宋体"/>
        <family val="3"/>
        <charset val="134"/>
      </rPr>
      <t>Pb</t>
    </r>
    <r>
      <rPr>
        <b/>
        <sz val="9"/>
        <color rgb="FF000000"/>
        <rFont val="宋体"/>
        <family val="3"/>
        <charset val="134"/>
      </rPr>
      <t>I</t>
    </r>
  </si>
  <si>
    <t>3.6(4.22)</t>
  </si>
  <si>
    <t>0.19(0.9)</t>
  </si>
  <si>
    <r>
      <rPr>
        <b/>
        <sz val="11"/>
        <color rgb="FF000000"/>
        <rFont val="宋体"/>
        <family val="3"/>
        <charset val="134"/>
      </rPr>
      <t>I</t>
    </r>
    <r>
      <rPr>
        <b/>
        <sz val="8"/>
        <color rgb="FF000000"/>
        <rFont val="宋体"/>
        <family val="3"/>
        <charset val="134"/>
      </rPr>
      <t>Pb</t>
    </r>
  </si>
  <si>
    <r>
      <rPr>
        <b/>
        <sz val="11"/>
        <color rgb="FF000000"/>
        <rFont val="宋体"/>
        <family val="3"/>
        <charset val="134"/>
      </rPr>
      <t>Pb</t>
    </r>
    <r>
      <rPr>
        <b/>
        <sz val="8"/>
        <color rgb="FF000000"/>
        <rFont val="宋体"/>
        <family val="3"/>
        <charset val="134"/>
      </rPr>
      <t>MA</t>
    </r>
  </si>
  <si>
    <t>Null</t>
  </si>
  <si>
    <r>
      <rPr>
        <b/>
        <sz val="11"/>
        <color rgb="FF000000"/>
        <rFont val="宋体"/>
        <family val="3"/>
        <charset val="134"/>
      </rPr>
      <t>MA</t>
    </r>
    <r>
      <rPr>
        <b/>
        <sz val="8"/>
        <color rgb="FF000000"/>
        <rFont val="宋体"/>
        <family val="3"/>
        <charset val="134"/>
      </rPr>
      <t>Pb</t>
    </r>
  </si>
  <si>
    <r>
      <rPr>
        <b/>
        <sz val="11"/>
        <color rgb="FF000000"/>
        <rFont val="宋体"/>
        <family val="3"/>
        <charset val="134"/>
      </rPr>
      <t>MA</t>
    </r>
    <r>
      <rPr>
        <b/>
        <sz val="9"/>
        <color rgb="FF000000"/>
        <rFont val="宋体"/>
        <family val="3"/>
        <charset val="134"/>
      </rPr>
      <t>I</t>
    </r>
  </si>
  <si>
    <t>μpb(Pb-poor, Pb-rich)</t>
  </si>
  <si>
    <t>μI(I-poor, I-rich)</t>
  </si>
  <si>
    <t>Ef(MBD+PBE)
I-poor</t>
  </si>
  <si>
    <t>Ef(MBD+PBE)
I-rich</t>
  </si>
  <si>
    <t>System</t>
  </si>
  <si>
    <t>Etot(PBE)[Ry/formula]</t>
  </si>
  <si>
    <t>Etot(rev-vdw)[Ry/formula]</t>
  </si>
  <si>
    <t>Etot(PBE)
[eV/formula]</t>
  </si>
  <si>
    <t>Etot(rev-vdw)
[eV/formula}</t>
  </si>
  <si>
    <t>rev-vdw 
contribution</t>
  </si>
  <si>
    <t>QUANTUM-ESPRESSO</t>
  </si>
  <si>
    <r>
      <rPr>
        <sz val="11"/>
        <color rgb="FF000000"/>
        <rFont val="宋体"/>
        <family val="3"/>
        <charset val="134"/>
      </rPr>
      <t>MAPbI</t>
    </r>
    <r>
      <rPr>
        <sz val="9"/>
        <color rgb="FF000000"/>
        <rFont val="宋体"/>
        <family val="3"/>
        <charset val="134"/>
      </rPr>
      <t>3</t>
    </r>
    <r>
      <rPr>
        <sz val="11"/>
        <color rgb="FF000000"/>
        <rFont val="宋体"/>
        <family val="3"/>
        <charset val="134"/>
      </rPr>
      <t>(tetragonal phase)</t>
    </r>
  </si>
  <si>
    <r>
      <rPr>
        <sz val="11"/>
        <color rgb="FF000000"/>
        <rFont val="宋体"/>
        <family val="3"/>
        <charset val="134"/>
      </rPr>
      <t>PbI2(CdI</t>
    </r>
    <r>
      <rPr>
        <sz val="9"/>
        <color rgb="FF000000"/>
        <rFont val="宋体"/>
        <family val="3"/>
        <charset val="134"/>
      </rPr>
      <t>2</t>
    </r>
    <r>
      <rPr>
        <sz val="11"/>
        <color rgb="FF000000"/>
        <rFont val="宋体"/>
        <family val="3"/>
        <charset val="134"/>
      </rPr>
      <t xml:space="preserve"> structure,2Htype)</t>
    </r>
  </si>
  <si>
    <t>MAI(solid phase)</t>
  </si>
  <si>
    <t>Pb(metal.fcc lattice)</t>
  </si>
  <si>
    <t>I2(molecule)</t>
  </si>
  <si>
    <t>C(graphite,AB stack)</t>
  </si>
  <si>
    <t>N2(molecule)</t>
  </si>
  <si>
    <t>H2(molecule)</t>
  </si>
  <si>
    <t>ΔHform(PBE)[eV]</t>
  </si>
  <si>
    <t>ΔHform(vdw-DF)[eV]</t>
  </si>
  <si>
    <t>Formation Energy(PBESCS,PBE,YS,TS)</t>
    <phoneticPr fontId="27" type="noConversion"/>
  </si>
  <si>
    <t>Formation Energy(PBESCS,PBE,TS,TS)</t>
    <phoneticPr fontId="27" type="noConversion"/>
  </si>
  <si>
    <t>E(MAPbI3)perfect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</si>
</sst>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rgb="FF000000"/>
      <name val="宋体"/>
      <charset val="134"/>
    </font>
    <font>
      <b/>
      <sz val="12"/>
      <color rgb="FF000000"/>
      <name val="Times New Roman"/>
      <family val="1"/>
      <charset val="1"/>
    </font>
    <font>
      <b/>
      <sz val="12"/>
      <color rgb="FF000000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1"/>
      <color rgb="FF000000"/>
      <name val="宋体"/>
      <family val="3"/>
      <charset val="134"/>
    </font>
    <font>
      <b/>
      <sz val="8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4"/>
      <color rgb="FF000000"/>
      <name val="宋体"/>
      <family val="3"/>
      <charset val="134"/>
    </font>
    <font>
      <sz val="26"/>
      <color rgb="FF000000"/>
      <name val="宋体"/>
      <family val="3"/>
      <charset val="134"/>
    </font>
    <font>
      <sz val="22"/>
      <color rgb="FF000000"/>
      <name val="宋体"/>
      <family val="3"/>
      <charset val="134"/>
    </font>
    <font>
      <sz val="11"/>
      <color rgb="FF00B050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1"/>
      <color rgb="FF000000"/>
      <name val="Times New Roman"/>
      <family val="1"/>
      <charset val="1"/>
    </font>
    <font>
      <sz val="11"/>
      <name val="宋体"/>
      <family val="3"/>
      <charset val="134"/>
    </font>
    <font>
      <b/>
      <sz val="9"/>
      <color rgb="FF000000"/>
      <name val="宋体"/>
      <family val="3"/>
      <charset val="134"/>
    </font>
    <font>
      <b/>
      <sz val="10"/>
      <color rgb="FF000000"/>
      <name val="宋体"/>
      <family val="3"/>
      <charset val="134"/>
    </font>
    <font>
      <b/>
      <sz val="14"/>
      <color rgb="FF000000"/>
      <name val="宋体"/>
      <family val="3"/>
      <charset val="134"/>
    </font>
    <font>
      <b/>
      <sz val="18"/>
      <color rgb="FF000000"/>
      <name val="宋体"/>
      <family val="3"/>
      <charset val="134"/>
    </font>
    <font>
      <sz val="11"/>
      <color rgb="FF000000"/>
      <name val="Times New Roman"/>
      <family val="1"/>
      <charset val="1"/>
    </font>
    <font>
      <sz val="10"/>
      <color rgb="FF000000"/>
      <name val="宋体"/>
      <family val="3"/>
      <charset val="134"/>
    </font>
    <font>
      <sz val="11"/>
      <color rgb="FF808080"/>
      <name val="宋体"/>
      <family val="3"/>
      <charset val="134"/>
    </font>
    <font>
      <b/>
      <sz val="6"/>
      <color rgb="FF000000"/>
      <name val="宋体"/>
      <family val="3"/>
      <charset val="134"/>
    </font>
    <font>
      <b/>
      <sz val="26"/>
      <color rgb="FF000000"/>
      <name val="宋体"/>
      <family val="3"/>
      <charset val="134"/>
    </font>
    <font>
      <b/>
      <sz val="24"/>
      <color rgb="FF000000"/>
      <name val="宋体"/>
      <family val="3"/>
      <charset val="134"/>
    </font>
    <font>
      <b/>
      <i/>
      <sz val="10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9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  <fill>
      <patternFill patternType="solid">
        <fgColor rgb="FF92D050"/>
        <bgColor rgb="FFBFBFBF"/>
      </patternFill>
    </fill>
    <fill>
      <patternFill patternType="solid">
        <fgColor rgb="FF7F7F7F"/>
        <bgColor rgb="FF808080"/>
      </patternFill>
    </fill>
    <fill>
      <patternFill patternType="solid">
        <fgColor rgb="FFFCD5B5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CCCCFF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93300"/>
      </patternFill>
    </fill>
  </fills>
  <borders count="5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85">
    <xf numFmtId="0" fontId="0" fillId="0" borderId="0" xfId="0">
      <alignment vertical="center"/>
    </xf>
    <xf numFmtId="0" fontId="7" fillId="3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ont="1" applyFill="1" applyBorder="1">
      <alignment vertical="center"/>
    </xf>
    <xf numFmtId="0" fontId="10" fillId="0" borderId="4" xfId="0" applyFont="1" applyBorder="1">
      <alignment vertical="center"/>
    </xf>
    <xf numFmtId="0" fontId="10" fillId="0" borderId="4" xfId="0" applyFont="1" applyBorder="1" applyAlignment="1">
      <alignment vertical="center"/>
    </xf>
    <xf numFmtId="0" fontId="10" fillId="6" borderId="4" xfId="0" applyFont="1" applyFill="1" applyBorder="1" applyAlignment="1">
      <alignment vertical="center"/>
    </xf>
    <xf numFmtId="0" fontId="10" fillId="0" borderId="5" xfId="0" applyFont="1" applyBorder="1">
      <alignment vertical="center"/>
    </xf>
    <xf numFmtId="0" fontId="10" fillId="6" borderId="4" xfId="0" applyFont="1" applyFill="1" applyBorder="1">
      <alignment vertical="center"/>
    </xf>
    <xf numFmtId="0" fontId="0" fillId="4" borderId="4" xfId="0" applyFont="1" applyFill="1" applyBorder="1">
      <alignment vertical="center"/>
    </xf>
    <xf numFmtId="0" fontId="11" fillId="4" borderId="4" xfId="0" applyFont="1" applyFill="1" applyBorder="1" applyAlignment="1">
      <alignment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6" borderId="8" xfId="0" applyFont="1" applyFill="1" applyBorder="1" applyAlignment="1">
      <alignment horizontal="center" vertical="center"/>
    </xf>
    <xf numFmtId="0" fontId="10" fillId="6" borderId="5" xfId="0" applyFont="1" applyFill="1" applyBorder="1">
      <alignment vertical="center"/>
    </xf>
    <xf numFmtId="0" fontId="13" fillId="7" borderId="4" xfId="0" applyFont="1" applyFill="1" applyBorder="1">
      <alignment vertical="center"/>
    </xf>
    <xf numFmtId="0" fontId="0" fillId="7" borderId="4" xfId="0" applyFill="1" applyBorder="1">
      <alignment vertical="center"/>
    </xf>
    <xf numFmtId="0" fontId="0" fillId="3" borderId="4" xfId="0" applyFill="1" applyBorder="1">
      <alignment vertical="center"/>
    </xf>
    <xf numFmtId="0" fontId="0" fillId="8" borderId="4" xfId="0" applyFont="1" applyFill="1" applyBorder="1">
      <alignment vertical="center"/>
    </xf>
    <xf numFmtId="0" fontId="0" fillId="0" borderId="4" xfId="0" applyBorder="1">
      <alignment vertical="center"/>
    </xf>
    <xf numFmtId="0" fontId="0" fillId="6" borderId="4" xfId="0" applyFill="1" applyBorder="1">
      <alignment vertical="center"/>
    </xf>
    <xf numFmtId="0" fontId="0" fillId="6" borderId="5" xfId="0" applyFill="1" applyBorder="1">
      <alignment vertical="center"/>
    </xf>
    <xf numFmtId="0" fontId="14" fillId="0" borderId="4" xfId="0" applyFont="1" applyBorder="1">
      <alignment vertical="center"/>
    </xf>
    <xf numFmtId="0" fontId="14" fillId="6" borderId="4" xfId="0" applyFont="1" applyFill="1" applyBorder="1">
      <alignment vertical="center"/>
    </xf>
    <xf numFmtId="0" fontId="11" fillId="4" borderId="4" xfId="0" applyFont="1" applyFill="1" applyBorder="1">
      <alignment vertical="center"/>
    </xf>
    <xf numFmtId="0" fontId="4" fillId="9" borderId="4" xfId="0" applyFont="1" applyFill="1" applyBorder="1" applyAlignment="1">
      <alignment vertical="center"/>
    </xf>
    <xf numFmtId="0" fontId="16" fillId="9" borderId="4" xfId="0" applyFont="1" applyFill="1" applyBorder="1" applyAlignment="1">
      <alignment vertical="center"/>
    </xf>
    <xf numFmtId="0" fontId="0" fillId="10" borderId="4" xfId="0" applyFont="1" applyFill="1" applyBorder="1">
      <alignment vertical="center"/>
    </xf>
    <xf numFmtId="0" fontId="0" fillId="0" borderId="0" xfId="0" applyFont="1" applyAlignment="1">
      <alignment vertical="center"/>
    </xf>
    <xf numFmtId="0" fontId="17" fillId="3" borderId="4" xfId="0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0" fontId="0" fillId="0" borderId="5" xfId="0" applyBorder="1">
      <alignment vertical="center"/>
    </xf>
    <xf numFmtId="0" fontId="11" fillId="0" borderId="4" xfId="0" applyFont="1" applyBorder="1" applyAlignment="1">
      <alignment vertical="center"/>
    </xf>
    <xf numFmtId="0" fontId="0" fillId="5" borderId="32" xfId="0" applyFont="1" applyFill="1" applyBorder="1">
      <alignment vertical="center"/>
    </xf>
    <xf numFmtId="0" fontId="4" fillId="7" borderId="32" xfId="0" applyFont="1" applyFill="1" applyBorder="1">
      <alignment vertical="center"/>
    </xf>
    <xf numFmtId="0" fontId="19" fillId="8" borderId="32" xfId="0" applyFont="1" applyFill="1" applyBorder="1">
      <alignment vertical="center"/>
    </xf>
    <xf numFmtId="0" fontId="19" fillId="8" borderId="4" xfId="0" applyFont="1" applyFill="1" applyBorder="1">
      <alignment vertical="center"/>
    </xf>
    <xf numFmtId="0" fontId="11" fillId="0" borderId="4" xfId="0" applyFont="1" applyBorder="1">
      <alignment vertical="center"/>
    </xf>
    <xf numFmtId="0" fontId="0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8" fillId="3" borderId="41" xfId="0" applyFont="1" applyFill="1" applyBorder="1" applyAlignment="1">
      <alignment horizontal="center" vertical="center"/>
    </xf>
    <xf numFmtId="0" fontId="23" fillId="3" borderId="12" xfId="0" applyFont="1" applyFill="1" applyBorder="1" applyAlignment="1">
      <alignment horizontal="center" vertical="center"/>
    </xf>
    <xf numFmtId="0" fontId="24" fillId="3" borderId="12" xfId="0" applyFont="1" applyFill="1" applyBorder="1" applyAlignment="1">
      <alignment horizontal="center" vertical="center"/>
    </xf>
    <xf numFmtId="0" fontId="0" fillId="5" borderId="30" xfId="0" applyFont="1" applyFill="1" applyBorder="1">
      <alignment vertical="center"/>
    </xf>
    <xf numFmtId="0" fontId="0" fillId="5" borderId="5" xfId="0" applyFont="1" applyFill="1" applyBorder="1">
      <alignment vertical="center"/>
    </xf>
    <xf numFmtId="0" fontId="4" fillId="9" borderId="5" xfId="0" applyFont="1" applyFill="1" applyBorder="1" applyAlignment="1">
      <alignment vertical="center"/>
    </xf>
    <xf numFmtId="0" fontId="0" fillId="8" borderId="0" xfId="0" applyFill="1">
      <alignment vertical="center"/>
    </xf>
    <xf numFmtId="0" fontId="0" fillId="0" borderId="0" xfId="0" applyFont="1" applyBorder="1">
      <alignment vertical="center"/>
    </xf>
    <xf numFmtId="0" fontId="0" fillId="0" borderId="50" xfId="0" applyBorder="1">
      <alignment vertical="center"/>
    </xf>
    <xf numFmtId="0" fontId="0" fillId="0" borderId="36" xfId="0" applyFont="1" applyBorder="1">
      <alignment vertical="center"/>
    </xf>
    <xf numFmtId="0" fontId="0" fillId="0" borderId="0" xfId="0" applyFont="1" applyBorder="1" applyAlignment="1">
      <alignment vertical="center" wrapText="1"/>
    </xf>
    <xf numFmtId="0" fontId="0" fillId="0" borderId="36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6" borderId="13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6" borderId="13" xfId="0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 wrapText="1"/>
    </xf>
    <xf numFmtId="0" fontId="0" fillId="8" borderId="17" xfId="0" applyFont="1" applyFill="1" applyBorder="1" applyAlignment="1">
      <alignment horizontal="center" vertical="center"/>
    </xf>
    <xf numFmtId="0" fontId="12" fillId="8" borderId="18" xfId="0" applyFont="1" applyFill="1" applyBorder="1" applyAlignment="1">
      <alignment horizontal="center" vertical="center" wrapText="1"/>
    </xf>
    <xf numFmtId="0" fontId="0" fillId="8" borderId="17" xfId="0" applyFont="1" applyFill="1" applyBorder="1" applyAlignment="1">
      <alignment horizontal="center" vertical="center" wrapText="1"/>
    </xf>
    <xf numFmtId="0" fontId="0" fillId="8" borderId="19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10" fillId="8" borderId="18" xfId="0" applyFont="1" applyFill="1" applyBorder="1" applyAlignment="1">
      <alignment horizontal="center" vertical="center"/>
    </xf>
    <xf numFmtId="0" fontId="10" fillId="8" borderId="17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 wrapText="1"/>
    </xf>
    <xf numFmtId="0" fontId="10" fillId="8" borderId="19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4" fillId="8" borderId="21" xfId="0" applyFont="1" applyFill="1" applyBorder="1" applyAlignment="1">
      <alignment horizontal="center" vertical="center" wrapText="1"/>
    </xf>
    <xf numFmtId="0" fontId="10" fillId="8" borderId="22" xfId="0" applyFont="1" applyFill="1" applyBorder="1" applyAlignment="1">
      <alignment horizontal="center" vertical="center"/>
    </xf>
    <xf numFmtId="0" fontId="12" fillId="8" borderId="22" xfId="0" applyFont="1" applyFill="1" applyBorder="1" applyAlignment="1">
      <alignment horizontal="center" vertical="center" wrapText="1"/>
    </xf>
    <xf numFmtId="0" fontId="10" fillId="8" borderId="23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 wrapText="1"/>
    </xf>
    <xf numFmtId="0" fontId="0" fillId="8" borderId="23" xfId="0" applyFont="1" applyFill="1" applyBorder="1" applyAlignment="1">
      <alignment horizontal="center" vertical="center" wrapText="1"/>
    </xf>
    <xf numFmtId="0" fontId="10" fillId="8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12" fillId="6" borderId="28" xfId="0" applyFont="1" applyFill="1" applyBorder="1" applyAlignment="1">
      <alignment horizontal="center" vertical="center"/>
    </xf>
    <xf numFmtId="0" fontId="0" fillId="6" borderId="29" xfId="0" applyFont="1" applyFill="1" applyBorder="1" applyAlignment="1">
      <alignment horizontal="center" vertical="center"/>
    </xf>
    <xf numFmtId="0" fontId="0" fillId="6" borderId="30" xfId="0" applyFont="1" applyFill="1" applyBorder="1" applyAlignment="1">
      <alignment horizontal="center" vertical="center"/>
    </xf>
    <xf numFmtId="0" fontId="0" fillId="6" borderId="31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4" fillId="8" borderId="33" xfId="0" applyFont="1" applyFill="1" applyBorder="1" applyAlignment="1">
      <alignment horizontal="center" vertical="center" wrapText="1"/>
    </xf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0" fillId="6" borderId="12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  <xf numFmtId="0" fontId="4" fillId="8" borderId="26" xfId="0" applyFont="1" applyFill="1" applyBorder="1" applyAlignment="1">
      <alignment horizontal="center" vertical="center" wrapText="1"/>
    </xf>
    <xf numFmtId="0" fontId="0" fillId="8" borderId="34" xfId="0" applyFont="1" applyFill="1" applyBorder="1" applyAlignment="1">
      <alignment horizontal="center" vertical="center"/>
    </xf>
    <xf numFmtId="0" fontId="12" fillId="8" borderId="35" xfId="0" applyFont="1" applyFill="1" applyBorder="1" applyAlignment="1">
      <alignment horizontal="center" vertical="center" wrapText="1"/>
    </xf>
    <xf numFmtId="0" fontId="0" fillId="8" borderId="36" xfId="0" applyFont="1" applyFill="1" applyBorder="1" applyAlignment="1">
      <alignment horizontal="center" vertical="center"/>
    </xf>
    <xf numFmtId="0" fontId="0" fillId="8" borderId="35" xfId="0" applyFont="1" applyFill="1" applyBorder="1" applyAlignment="1">
      <alignment horizontal="center" vertical="center" wrapText="1"/>
    </xf>
    <xf numFmtId="0" fontId="0" fillId="8" borderId="36" xfId="0" applyFont="1" applyFill="1" applyBorder="1" applyAlignment="1">
      <alignment horizontal="center" vertical="center" wrapText="1"/>
    </xf>
    <xf numFmtId="0" fontId="0" fillId="8" borderId="37" xfId="0" applyFont="1" applyFill="1" applyBorder="1" applyAlignment="1">
      <alignment horizontal="center" vertical="center"/>
    </xf>
    <xf numFmtId="49" fontId="4" fillId="11" borderId="24" xfId="0" applyNumberFormat="1" applyFont="1" applyFill="1" applyBorder="1" applyAlignment="1">
      <alignment horizontal="center" vertical="center"/>
    </xf>
    <xf numFmtId="0" fontId="4" fillId="11" borderId="38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 wrapText="1"/>
    </xf>
    <xf numFmtId="0" fontId="0" fillId="6" borderId="9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6" borderId="40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0" fillId="6" borderId="40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 wrapText="1"/>
    </xf>
    <xf numFmtId="0" fontId="0" fillId="6" borderId="14" xfId="0" applyFont="1" applyFill="1" applyBorder="1" applyAlignment="1">
      <alignment horizontal="center" vertical="center"/>
    </xf>
    <xf numFmtId="0" fontId="0" fillId="6" borderId="39" xfId="0" applyFont="1" applyFill="1" applyBorder="1" applyAlignment="1">
      <alignment horizontal="center" vertical="center"/>
    </xf>
    <xf numFmtId="0" fontId="21" fillId="6" borderId="14" xfId="0" applyFont="1" applyFill="1" applyBorder="1" applyAlignment="1">
      <alignment horizontal="center" vertical="center"/>
    </xf>
    <xf numFmtId="0" fontId="21" fillId="6" borderId="39" xfId="0" applyFont="1" applyFill="1" applyBorder="1" applyAlignment="1">
      <alignment horizontal="center" vertical="center"/>
    </xf>
    <xf numFmtId="0" fontId="21" fillId="6" borderId="40" xfId="0" applyFont="1" applyFill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center"/>
    </xf>
    <xf numFmtId="0" fontId="10" fillId="6" borderId="39" xfId="0" applyFont="1" applyFill="1" applyBorder="1" applyAlignment="1">
      <alignment horizontal="center" vertical="center"/>
    </xf>
    <xf numFmtId="0" fontId="10" fillId="6" borderId="40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12" fillId="6" borderId="9" xfId="0" applyFont="1" applyFill="1" applyBorder="1" applyAlignment="1">
      <alignment horizontal="center" vertical="center"/>
    </xf>
    <xf numFmtId="0" fontId="10" fillId="8" borderId="36" xfId="0" applyFont="1" applyFill="1" applyBorder="1" applyAlignment="1">
      <alignment horizontal="center" vertical="center"/>
    </xf>
    <xf numFmtId="0" fontId="0" fillId="6" borderId="42" xfId="0" applyFont="1" applyFill="1" applyBorder="1" applyAlignment="1">
      <alignment horizontal="center" vertical="center"/>
    </xf>
    <xf numFmtId="0" fontId="10" fillId="6" borderId="42" xfId="0" applyFont="1" applyFill="1" applyBorder="1" applyAlignment="1">
      <alignment horizontal="center" vertical="center"/>
    </xf>
    <xf numFmtId="0" fontId="4" fillId="0" borderId="43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/>
    </xf>
    <xf numFmtId="0" fontId="0" fillId="0" borderId="46" xfId="0" applyFont="1" applyBorder="1" applyAlignment="1">
      <alignment horizontal="center" vertical="center"/>
    </xf>
    <xf numFmtId="0" fontId="10" fillId="6" borderId="2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0" fillId="0" borderId="47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0" fillId="0" borderId="49" xfId="0" applyFont="1" applyBorder="1" applyAlignment="1">
      <alignment horizontal="center" vertical="center"/>
    </xf>
    <xf numFmtId="0" fontId="0" fillId="0" borderId="48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11" fillId="8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4" fillId="12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2D050"/>
      <rgbColor rgb="FFFFC000"/>
      <rgbColor rgb="FFFF9900"/>
      <rgbColor rgb="FFE46C0A"/>
      <rgbColor rgb="FF558ED5"/>
      <rgbColor rgb="FF7F7F7F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9360</xdr:colOff>
      <xdr:row>9</xdr:row>
      <xdr:rowOff>26280</xdr:rowOff>
    </xdr:from>
    <xdr:to>
      <xdr:col>19</xdr:col>
      <xdr:colOff>919800</xdr:colOff>
      <xdr:row>14</xdr:row>
      <xdr:rowOff>151560</xdr:rowOff>
    </xdr:to>
    <xdr:pic>
      <xdr:nvPicPr>
        <xdr:cNvPr id="2" name="图片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7659080" y="1856880"/>
          <a:ext cx="910440" cy="993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9360</xdr:colOff>
      <xdr:row>0</xdr:row>
      <xdr:rowOff>9360</xdr:rowOff>
    </xdr:from>
    <xdr:to>
      <xdr:col>26</xdr:col>
      <xdr:colOff>141480</xdr:colOff>
      <xdr:row>26</xdr:row>
      <xdr:rowOff>83520</xdr:rowOff>
    </xdr:to>
    <xdr:pic>
      <xdr:nvPicPr>
        <xdr:cNvPr id="3" name="图片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7659080" y="9360"/>
          <a:ext cx="6399360" cy="486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9360</xdr:colOff>
      <xdr:row>33</xdr:row>
      <xdr:rowOff>20520</xdr:rowOff>
    </xdr:from>
    <xdr:to>
      <xdr:col>21</xdr:col>
      <xdr:colOff>171720</xdr:colOff>
      <xdr:row>42</xdr:row>
      <xdr:rowOff>21600</xdr:rowOff>
    </xdr:to>
    <xdr:pic>
      <xdr:nvPicPr>
        <xdr:cNvPr id="4" name="图片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7659080" y="6305040"/>
          <a:ext cx="2048400" cy="1648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9360</xdr:colOff>
      <xdr:row>33</xdr:row>
      <xdr:rowOff>20520</xdr:rowOff>
    </xdr:from>
    <xdr:to>
      <xdr:col>23</xdr:col>
      <xdr:colOff>344520</xdr:colOff>
      <xdr:row>42</xdr:row>
      <xdr:rowOff>47520</xdr:rowOff>
    </xdr:to>
    <xdr:pic>
      <xdr:nvPicPr>
        <xdr:cNvPr id="5" name="图片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20421360" y="6305040"/>
          <a:ext cx="1211400" cy="1674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9360</xdr:colOff>
      <xdr:row>44</xdr:row>
      <xdr:rowOff>20880</xdr:rowOff>
    </xdr:from>
    <xdr:to>
      <xdr:col>21</xdr:col>
      <xdr:colOff>123120</xdr:colOff>
      <xdr:row>57</xdr:row>
      <xdr:rowOff>155520</xdr:rowOff>
    </xdr:to>
    <xdr:pic>
      <xdr:nvPicPr>
        <xdr:cNvPr id="6" name="图片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17659080" y="8334000"/>
          <a:ext cx="1999800" cy="2468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9360</xdr:colOff>
      <xdr:row>44</xdr:row>
      <xdr:rowOff>20880</xdr:rowOff>
    </xdr:from>
    <xdr:to>
      <xdr:col>26</xdr:col>
      <xdr:colOff>561240</xdr:colOff>
      <xdr:row>49</xdr:row>
      <xdr:rowOff>135000</xdr:rowOff>
    </xdr:to>
    <xdr:pic>
      <xdr:nvPicPr>
        <xdr:cNvPr id="7" name="图片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20421360" y="8334000"/>
          <a:ext cx="4056840" cy="1038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9360</xdr:colOff>
      <xdr:row>59</xdr:row>
      <xdr:rowOff>20880</xdr:rowOff>
    </xdr:from>
    <xdr:to>
      <xdr:col>21</xdr:col>
      <xdr:colOff>100080</xdr:colOff>
      <xdr:row>69</xdr:row>
      <xdr:rowOff>140040</xdr:rowOff>
    </xdr:to>
    <xdr:pic>
      <xdr:nvPicPr>
        <xdr:cNvPr id="8" name="图片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17659080" y="11010600"/>
          <a:ext cx="1976760" cy="2129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9360</xdr:colOff>
      <xdr:row>59</xdr:row>
      <xdr:rowOff>20880</xdr:rowOff>
    </xdr:from>
    <xdr:to>
      <xdr:col>26</xdr:col>
      <xdr:colOff>465840</xdr:colOff>
      <xdr:row>70</xdr:row>
      <xdr:rowOff>26280</xdr:rowOff>
    </xdr:to>
    <xdr:pic>
      <xdr:nvPicPr>
        <xdr:cNvPr id="9" name="图片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20421360" y="11010600"/>
          <a:ext cx="3961440" cy="2196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337680</xdr:colOff>
      <xdr:row>71</xdr:row>
      <xdr:rowOff>101160</xdr:rowOff>
    </xdr:from>
    <xdr:to>
      <xdr:col>25</xdr:col>
      <xdr:colOff>366120</xdr:colOff>
      <xdr:row>84</xdr:row>
      <xdr:rowOff>30600</xdr:rowOff>
    </xdr:to>
    <xdr:pic>
      <xdr:nvPicPr>
        <xdr:cNvPr id="10" name="图片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19873440" y="13453200"/>
          <a:ext cx="3533400" cy="2205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9360</xdr:colOff>
      <xdr:row>71</xdr:row>
      <xdr:rowOff>20880</xdr:rowOff>
    </xdr:from>
    <xdr:to>
      <xdr:col>30</xdr:col>
      <xdr:colOff>502560</xdr:colOff>
      <xdr:row>82</xdr:row>
      <xdr:rowOff>88200</xdr:rowOff>
    </xdr:to>
    <xdr:pic>
      <xdr:nvPicPr>
        <xdr:cNvPr id="11" name="图片 1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0"/>
        <a:stretch/>
      </xdr:blipFill>
      <xdr:spPr>
        <a:xfrm>
          <a:off x="22173840" y="13372920"/>
          <a:ext cx="4684320" cy="1991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265320</xdr:colOff>
      <xdr:row>70</xdr:row>
      <xdr:rowOff>136800</xdr:rowOff>
    </xdr:from>
    <xdr:to>
      <xdr:col>16</xdr:col>
      <xdr:colOff>586440</xdr:colOff>
      <xdr:row>72</xdr:row>
      <xdr:rowOff>77760</xdr:rowOff>
    </xdr:to>
    <xdr:sp macro="" textlink="">
      <xdr:nvSpPr>
        <xdr:cNvPr id="12" name="CustomShape 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4962320" y="13317480"/>
          <a:ext cx="321120" cy="293400"/>
        </a:xfrm>
        <a:prstGeom prst="triangle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7"/>
  <sheetViews>
    <sheetView tabSelected="1" topLeftCell="D118" zoomScaleNormal="100" workbookViewId="0">
      <selection activeCell="I139" sqref="I139"/>
    </sheetView>
  </sheetViews>
  <sheetFormatPr defaultRowHeight="13.5" x14ac:dyDescent="0.15"/>
  <cols>
    <col min="1" max="3" width="13.5"/>
    <col min="4" max="4" width="11.125"/>
    <col min="5" max="5" width="13.5"/>
    <col min="6" max="6" width="12.5"/>
    <col min="7" max="7" width="9.375"/>
    <col min="8" max="8" width="13.5"/>
    <col min="9" max="9" width="9.375"/>
    <col min="10" max="10" width="10.875"/>
    <col min="11" max="11" width="15.625"/>
    <col min="12" max="12" width="10.75"/>
    <col min="13" max="13" width="13.875" bestFit="1" customWidth="1"/>
    <col min="14" max="14" width="23.75"/>
    <col min="15" max="16" width="13.5"/>
    <col min="17" max="17" width="15.375"/>
    <col min="18" max="18" width="13.75"/>
    <col min="19" max="19" width="13.125"/>
    <col min="20" max="21" width="13.5"/>
    <col min="22" max="26" width="12.5"/>
    <col min="27" max="1025" width="8.75"/>
  </cols>
  <sheetData>
    <row r="1" spans="1:21" ht="33.75" customHeight="1" x14ac:dyDescent="0.15">
      <c r="A1" s="60" t="s">
        <v>0</v>
      </c>
      <c r="B1" s="60"/>
      <c r="C1" s="60"/>
      <c r="D1" s="61" t="s">
        <v>1</v>
      </c>
      <c r="E1" s="61"/>
      <c r="F1" s="61"/>
      <c r="G1" s="61" t="s">
        <v>2</v>
      </c>
      <c r="H1" s="61"/>
      <c r="I1" s="61"/>
      <c r="J1" s="62" t="s">
        <v>3</v>
      </c>
      <c r="K1" s="62"/>
      <c r="L1" s="62"/>
      <c r="M1" s="63" t="s">
        <v>122</v>
      </c>
      <c r="N1" s="1" t="s">
        <v>4</v>
      </c>
      <c r="O1" s="2" t="s">
        <v>5</v>
      </c>
      <c r="P1" s="2" t="s">
        <v>6</v>
      </c>
      <c r="Q1" s="3" t="s">
        <v>7</v>
      </c>
      <c r="R1" s="4" t="s">
        <v>8</v>
      </c>
      <c r="S1" s="5" t="s">
        <v>9</v>
      </c>
    </row>
    <row r="2" spans="1:21" x14ac:dyDescent="0.15">
      <c r="A2" s="60"/>
      <c r="B2" s="60"/>
      <c r="C2" s="60"/>
      <c r="D2" s="61"/>
      <c r="E2" s="61"/>
      <c r="F2" s="61"/>
      <c r="G2" s="61"/>
      <c r="H2" s="61"/>
      <c r="I2" s="61"/>
      <c r="J2" s="62"/>
      <c r="K2" s="62"/>
      <c r="L2" s="62"/>
      <c r="M2" s="63"/>
      <c r="N2" s="6" t="s">
        <v>10</v>
      </c>
      <c r="O2" s="7">
        <v>-1.1175928074999999</v>
      </c>
      <c r="P2" s="8">
        <v>-1151699.69426674</v>
      </c>
      <c r="Q2" s="9">
        <v>-1.1022996897499999</v>
      </c>
      <c r="R2" s="10">
        <v>-1151700.81185955</v>
      </c>
      <c r="S2" s="11">
        <v>-1151700.79656643</v>
      </c>
    </row>
    <row r="3" spans="1:21" x14ac:dyDescent="0.15">
      <c r="A3" s="60"/>
      <c r="B3" s="60"/>
      <c r="C3" s="60"/>
      <c r="D3" s="61"/>
      <c r="E3" s="61"/>
      <c r="F3" s="61"/>
      <c r="G3" s="61"/>
      <c r="H3" s="61"/>
      <c r="I3" s="61"/>
      <c r="J3" s="62"/>
      <c r="K3" s="62"/>
      <c r="L3" s="62"/>
      <c r="M3" s="63"/>
      <c r="N3" s="12" t="s">
        <v>11</v>
      </c>
      <c r="O3" s="13">
        <v>-5.8814999999999999E-2</v>
      </c>
      <c r="P3" s="13">
        <v>-520.93654281925001</v>
      </c>
      <c r="Q3" s="13">
        <v>-6.8642499999999995E-2</v>
      </c>
      <c r="R3" s="13">
        <v>-520.99535781924999</v>
      </c>
      <c r="S3" s="13">
        <v>-521.00518531925002</v>
      </c>
    </row>
    <row r="4" spans="1:21" x14ac:dyDescent="0.15">
      <c r="A4" s="14" t="s">
        <v>5</v>
      </c>
      <c r="B4" s="15" t="s">
        <v>6</v>
      </c>
      <c r="C4" s="16" t="s">
        <v>7</v>
      </c>
      <c r="D4" s="64" t="s">
        <v>5</v>
      </c>
      <c r="E4" s="65" t="s">
        <v>6</v>
      </c>
      <c r="F4" s="66" t="s">
        <v>7</v>
      </c>
      <c r="G4" s="64" t="s">
        <v>5</v>
      </c>
      <c r="H4" s="65" t="s">
        <v>6</v>
      </c>
      <c r="I4" s="66" t="s">
        <v>7</v>
      </c>
      <c r="J4" s="64" t="s">
        <v>5</v>
      </c>
      <c r="K4" s="65" t="s">
        <v>6</v>
      </c>
      <c r="L4" s="67" t="s">
        <v>7</v>
      </c>
      <c r="M4" s="68">
        <f>B10-1.68514</f>
        <v>-0.76352888500851124</v>
      </c>
      <c r="N4" s="6" t="s">
        <v>12</v>
      </c>
      <c r="O4" s="8">
        <v>-0.19517892125</v>
      </c>
      <c r="P4" s="9">
        <v>-193637.75364357399</v>
      </c>
      <c r="Q4" s="9">
        <v>-0.21103936000000001</v>
      </c>
      <c r="R4" s="9">
        <v>-193637.948822495</v>
      </c>
      <c r="S4" s="9">
        <v>-193637.96468293399</v>
      </c>
    </row>
    <row r="5" spans="1:21" x14ac:dyDescent="0.15">
      <c r="A5" s="69">
        <f>O10</f>
        <v>-0.23084000499999999</v>
      </c>
      <c r="B5" s="70">
        <f>P10</f>
        <v>-568161.34678290901</v>
      </c>
      <c r="C5" s="71">
        <f>Q10</f>
        <v>-0.16990864924999999</v>
      </c>
      <c r="D5" s="64"/>
      <c r="E5" s="65"/>
      <c r="F5" s="66"/>
      <c r="G5" s="64"/>
      <c r="H5" s="65"/>
      <c r="I5" s="66"/>
      <c r="J5" s="64"/>
      <c r="K5" s="65"/>
      <c r="L5" s="67"/>
      <c r="M5" s="68"/>
      <c r="N5" s="6" t="s">
        <v>13</v>
      </c>
      <c r="O5" s="8">
        <v>-0.42958807249999997</v>
      </c>
      <c r="P5" s="9">
        <v>-568159.27279550501</v>
      </c>
      <c r="Q5" s="9">
        <v>-0.29545744750000003</v>
      </c>
      <c r="R5" s="9">
        <v>-568159.70238357806</v>
      </c>
      <c r="S5" s="9">
        <v>-568159.568252953</v>
      </c>
    </row>
    <row r="6" spans="1:21" x14ac:dyDescent="0.15">
      <c r="A6" s="69"/>
      <c r="B6" s="70"/>
      <c r="C6" s="71"/>
      <c r="D6" s="64"/>
      <c r="E6" s="65"/>
      <c r="F6" s="66"/>
      <c r="G6" s="64"/>
      <c r="H6" s="65"/>
      <c r="I6" s="66"/>
      <c r="J6" s="64"/>
      <c r="K6" s="65"/>
      <c r="L6" s="67"/>
      <c r="M6" s="68"/>
      <c r="N6" s="6" t="s">
        <v>14</v>
      </c>
      <c r="O6" s="8">
        <v>-0.63868261999999998</v>
      </c>
      <c r="P6" s="9">
        <v>-955436.82708202896</v>
      </c>
      <c r="Q6" s="9">
        <v>-0.65108504899999997</v>
      </c>
      <c r="R6" s="9">
        <v>-955437.46576464898</v>
      </c>
      <c r="S6" s="9">
        <v>-955437.47816707799</v>
      </c>
    </row>
    <row r="7" spans="1:21" x14ac:dyDescent="0.15">
      <c r="A7" s="17" t="s">
        <v>5</v>
      </c>
      <c r="B7" s="18" t="s">
        <v>6</v>
      </c>
      <c r="C7" s="19" t="s">
        <v>7</v>
      </c>
      <c r="D7" s="72">
        <f>O5</f>
        <v>-0.42958807249999997</v>
      </c>
      <c r="E7" s="73">
        <f>P5</f>
        <v>-568159.27279550501</v>
      </c>
      <c r="F7" s="74">
        <f>Q5</f>
        <v>-0.29545744750000003</v>
      </c>
      <c r="G7" s="81">
        <f>-8.57657556</f>
        <v>-8.5765755600000002</v>
      </c>
      <c r="H7" s="82">
        <f>-8645449.91431236+8.57657556</f>
        <v>-8645441.3377368003</v>
      </c>
      <c r="I7" s="83">
        <f>-8.580852886</f>
        <v>-8.5808528860000006</v>
      </c>
      <c r="J7" s="84">
        <v>-8.9407424599999992</v>
      </c>
      <c r="K7" s="82">
        <v>-9213597.5541339293</v>
      </c>
      <c r="L7" s="85">
        <v>-8.8183975179999994</v>
      </c>
      <c r="M7" s="68">
        <f>H10-1.68514</f>
        <v>-0.89685578000851018</v>
      </c>
      <c r="N7" s="6" t="s">
        <v>15</v>
      </c>
      <c r="O7" s="8">
        <v>-0.49639496</v>
      </c>
      <c r="P7" s="9">
        <v>-196262.840196684</v>
      </c>
      <c r="Q7" s="9">
        <v>-0.51031232049999997</v>
      </c>
      <c r="R7" s="20">
        <v>-196263.33659164401</v>
      </c>
      <c r="S7" s="11">
        <v>-196263.350509004</v>
      </c>
    </row>
    <row r="8" spans="1:21" ht="14.25" x14ac:dyDescent="0.15">
      <c r="A8" s="72">
        <f>O15</f>
        <v>-0.42958807249999997</v>
      </c>
      <c r="B8" s="73">
        <f>P15</f>
        <v>-568159.27279550501</v>
      </c>
      <c r="C8" s="74">
        <f>Q15</f>
        <v>-0.29545744750000003</v>
      </c>
      <c r="D8" s="72"/>
      <c r="E8" s="73"/>
      <c r="F8" s="74"/>
      <c r="G8" s="81"/>
      <c r="H8" s="82"/>
      <c r="I8" s="83"/>
      <c r="J8" s="84"/>
      <c r="K8" s="82"/>
      <c r="L8" s="85"/>
      <c r="M8" s="68"/>
      <c r="N8" s="21" t="s">
        <v>16</v>
      </c>
      <c r="O8" s="22">
        <v>9.9374033749999993E-2</v>
      </c>
      <c r="P8" s="22">
        <v>-1.0369937020586799</v>
      </c>
      <c r="Q8" s="22">
        <v>6.2774399125000102E-2</v>
      </c>
      <c r="R8" s="22">
        <v>-0.93761966830868004</v>
      </c>
      <c r="S8" s="22">
        <v>-0.97421930293367998</v>
      </c>
      <c r="T8" s="23">
        <v>-1.1100000000000001</v>
      </c>
    </row>
    <row r="9" spans="1:21" ht="14.25" x14ac:dyDescent="0.15">
      <c r="A9" s="72"/>
      <c r="B9" s="73"/>
      <c r="C9" s="74"/>
      <c r="D9" s="72"/>
      <c r="E9" s="73"/>
      <c r="F9" s="74"/>
      <c r="G9" s="81"/>
      <c r="H9" s="82"/>
      <c r="I9" s="83"/>
      <c r="J9" s="84"/>
      <c r="K9" s="82"/>
      <c r="L9" s="85"/>
      <c r="M9" s="68"/>
      <c r="N9" s="21" t="s">
        <v>17</v>
      </c>
      <c r="O9" s="22">
        <v>0.19874806749999999</v>
      </c>
      <c r="P9" s="22">
        <v>-2.0739874041173598</v>
      </c>
      <c r="Q9" s="22">
        <v>0.12554879825000001</v>
      </c>
      <c r="R9" s="22">
        <v>-1.8752393366173601</v>
      </c>
      <c r="S9" s="22">
        <v>-1.94843860586736</v>
      </c>
      <c r="T9" s="23">
        <v>-2.2200000000000002</v>
      </c>
    </row>
    <row r="10" spans="1:21" ht="13.5" customHeight="1" x14ac:dyDescent="0.15">
      <c r="A10" s="75" t="s">
        <v>18</v>
      </c>
      <c r="B10" s="76">
        <f>E10+H10</f>
        <v>0.92161111499148884</v>
      </c>
      <c r="C10" s="76"/>
      <c r="D10" s="77" t="s">
        <v>19</v>
      </c>
      <c r="E10" s="76">
        <f>G7-J7+A5</f>
        <v>0.13332689499999897</v>
      </c>
      <c r="F10" s="76"/>
      <c r="G10" s="78" t="s">
        <v>20</v>
      </c>
      <c r="H10" s="76">
        <f>H7-K7+B5+(-1)*(-5.91867)</f>
        <v>0.7882842199914899</v>
      </c>
      <c r="I10" s="76"/>
      <c r="J10" s="78" t="s">
        <v>21</v>
      </c>
      <c r="K10" s="79">
        <f>I7-L7+C5+H10</f>
        <v>0.85592020274148872</v>
      </c>
      <c r="L10" s="79"/>
      <c r="M10" s="80">
        <f>K10-1.68514</f>
        <v>-0.82921979725851136</v>
      </c>
      <c r="N10" s="24" t="s">
        <v>22</v>
      </c>
      <c r="O10" s="25">
        <v>-0.23084000499999999</v>
      </c>
      <c r="P10" s="26">
        <v>-568161.34678290901</v>
      </c>
      <c r="Q10" s="26">
        <v>-0.16990864924999999</v>
      </c>
      <c r="R10" s="27">
        <v>-568161.57762291399</v>
      </c>
      <c r="S10" s="27">
        <v>-568161.51669155795</v>
      </c>
    </row>
    <row r="11" spans="1:21" x14ac:dyDescent="0.15">
      <c r="A11" s="75"/>
      <c r="B11" s="76"/>
      <c r="C11" s="76"/>
      <c r="D11" s="77"/>
      <c r="E11" s="77"/>
      <c r="F11" s="76"/>
      <c r="G11" s="78"/>
      <c r="H11" s="76"/>
      <c r="I11" s="76"/>
      <c r="J11" s="78"/>
      <c r="K11" s="79"/>
      <c r="L11" s="79"/>
      <c r="M11" s="80"/>
      <c r="N11" s="24" t="s">
        <v>23</v>
      </c>
      <c r="O11" s="28">
        <v>-9.5804887500000005E-2</v>
      </c>
      <c r="P11" s="29">
        <v>-193638.79063727599</v>
      </c>
      <c r="Q11" s="29">
        <v>-0.14826496087499999</v>
      </c>
      <c r="R11" s="27">
        <v>-193638.886442163</v>
      </c>
      <c r="S11" s="29">
        <v>-193638.93890223699</v>
      </c>
    </row>
    <row r="12" spans="1:21" x14ac:dyDescent="0.15">
      <c r="A12" s="75"/>
      <c r="B12" s="76"/>
      <c r="C12" s="76"/>
      <c r="D12" s="77"/>
      <c r="E12" s="77"/>
      <c r="F12" s="76"/>
      <c r="G12" s="78"/>
      <c r="H12" s="76"/>
      <c r="I12" s="76"/>
      <c r="J12" s="78"/>
      <c r="K12" s="79"/>
      <c r="L12" s="79"/>
      <c r="M12" s="80"/>
      <c r="N12" s="24" t="s">
        <v>24</v>
      </c>
      <c r="O12" s="25">
        <v>-0.30121603875000003</v>
      </c>
      <c r="P12" s="26">
        <v>-2625.0865531095801</v>
      </c>
      <c r="Q12" s="26">
        <v>-0.29927296050000002</v>
      </c>
      <c r="R12" s="27">
        <v>-2625.3877691483299</v>
      </c>
      <c r="S12" s="26">
        <v>-2625.3858260700799</v>
      </c>
    </row>
    <row r="13" spans="1:21" ht="13.5" customHeight="1" x14ac:dyDescent="0.15">
      <c r="A13" s="86" t="s">
        <v>25</v>
      </c>
      <c r="B13" s="87">
        <f>E13+H13</f>
        <v>2.7968504514924342</v>
      </c>
      <c r="C13" s="87"/>
      <c r="D13" s="77" t="s">
        <v>26</v>
      </c>
      <c r="E13" s="88">
        <f>G7-J7+D7</f>
        <v>-6.5421172500001012E-2</v>
      </c>
      <c r="F13" s="88"/>
      <c r="G13" s="89" t="s">
        <v>27</v>
      </c>
      <c r="H13" s="88">
        <f>H7-K7+E7+(-1)*(-5.91867)</f>
        <v>2.8622716239924353</v>
      </c>
      <c r="I13" s="88"/>
      <c r="J13" s="78" t="s">
        <v>28</v>
      </c>
      <c r="K13" s="90">
        <f>I7-L7+F7+H13</f>
        <v>2.804358808492434</v>
      </c>
      <c r="L13" s="90"/>
      <c r="M13" s="80">
        <f>K13-1.68514</f>
        <v>1.1192188084924339</v>
      </c>
      <c r="N13" s="24" t="s">
        <v>29</v>
      </c>
      <c r="O13" s="28">
        <v>-0.40059007250000001</v>
      </c>
      <c r="P13" s="29">
        <v>-2624.0495594075201</v>
      </c>
      <c r="Q13" s="29">
        <v>-0.36204735962500001</v>
      </c>
      <c r="R13" s="27">
        <v>-2624.4501494800202</v>
      </c>
      <c r="S13" s="26">
        <v>-2624.4116067671398</v>
      </c>
    </row>
    <row r="14" spans="1:21" x14ac:dyDescent="0.15">
      <c r="A14" s="86"/>
      <c r="B14" s="87"/>
      <c r="C14" s="87"/>
      <c r="D14" s="77"/>
      <c r="E14" s="88"/>
      <c r="F14" s="88"/>
      <c r="G14" s="89"/>
      <c r="H14" s="88"/>
      <c r="I14" s="88"/>
      <c r="J14" s="78"/>
      <c r="K14" s="90"/>
      <c r="L14" s="90"/>
      <c r="M14" s="80"/>
      <c r="N14" s="24" t="s">
        <v>30</v>
      </c>
      <c r="O14" s="25">
        <v>-0.19517892125</v>
      </c>
      <c r="P14" s="26">
        <v>-193637.75364357399</v>
      </c>
      <c r="Q14" s="26">
        <v>-0.21103936000000001</v>
      </c>
      <c r="R14" s="27">
        <v>-193637.948822495</v>
      </c>
      <c r="S14" s="26">
        <v>-193637.96468293399</v>
      </c>
    </row>
    <row r="15" spans="1:21" x14ac:dyDescent="0.15">
      <c r="A15" s="86"/>
      <c r="B15" s="87"/>
      <c r="C15" s="87"/>
      <c r="D15" s="77"/>
      <c r="E15" s="88"/>
      <c r="F15" s="88"/>
      <c r="G15" s="89"/>
      <c r="H15" s="88"/>
      <c r="I15" s="88"/>
      <c r="J15" s="78"/>
      <c r="K15" s="90"/>
      <c r="L15" s="90"/>
      <c r="M15" s="80"/>
      <c r="N15" s="24" t="s">
        <v>31</v>
      </c>
      <c r="O15" s="25">
        <v>-0.42958807249999997</v>
      </c>
      <c r="P15" s="26">
        <v>-568159.27279550501</v>
      </c>
      <c r="Q15" s="26">
        <v>-0.29545744750000003</v>
      </c>
      <c r="R15" s="27">
        <v>-568159.70238357806</v>
      </c>
      <c r="S15" s="26">
        <v>-568159.568252953</v>
      </c>
    </row>
    <row r="16" spans="1:21" ht="13.5" customHeight="1" x14ac:dyDescent="0.15">
      <c r="A16" s="60" t="s">
        <v>32</v>
      </c>
      <c r="B16" s="60"/>
      <c r="C16" s="60"/>
      <c r="D16" s="61" t="s">
        <v>33</v>
      </c>
      <c r="E16" s="61"/>
      <c r="F16" s="61"/>
      <c r="G16" s="61" t="s">
        <v>34</v>
      </c>
      <c r="H16" s="61"/>
      <c r="I16" s="61"/>
      <c r="J16" s="62" t="s">
        <v>3</v>
      </c>
      <c r="K16" s="62"/>
      <c r="L16" s="62"/>
      <c r="M16" s="63" t="s">
        <v>121</v>
      </c>
      <c r="N16" s="24" t="s">
        <v>35</v>
      </c>
      <c r="O16" s="25">
        <v>-9.5804887500000005E-2</v>
      </c>
      <c r="P16" s="26">
        <v>-193638.79063727599</v>
      </c>
      <c r="Q16" s="26">
        <v>-0.14826496087499999</v>
      </c>
      <c r="R16" s="27">
        <v>-193638.886442163</v>
      </c>
      <c r="S16" s="26">
        <v>-193638.93890223699</v>
      </c>
      <c r="U16">
        <f>-1674.566653606/2</f>
        <v>-837.28332680300002</v>
      </c>
    </row>
    <row r="17" spans="1:21" x14ac:dyDescent="0.15">
      <c r="A17" s="60"/>
      <c r="B17" s="60"/>
      <c r="C17" s="60"/>
      <c r="D17" s="61"/>
      <c r="E17" s="61"/>
      <c r="F17" s="61"/>
      <c r="G17" s="61"/>
      <c r="H17" s="61"/>
      <c r="I17" s="61"/>
      <c r="J17" s="62"/>
      <c r="K17" s="62"/>
      <c r="L17" s="62"/>
      <c r="M17" s="63"/>
      <c r="N17" s="24" t="s">
        <v>36</v>
      </c>
      <c r="O17" s="25">
        <v>-0.19517892125</v>
      </c>
      <c r="P17" s="26">
        <v>-193637.75364357399</v>
      </c>
      <c r="Q17" s="26">
        <v>-0.21103936000000001</v>
      </c>
      <c r="R17" s="27">
        <v>-193637.948822495</v>
      </c>
      <c r="S17" s="26">
        <v>-193637.96468293399</v>
      </c>
      <c r="U17">
        <f>-1674.579247676/2</f>
        <v>-837.28962383800001</v>
      </c>
    </row>
    <row r="18" spans="1:21" x14ac:dyDescent="0.15">
      <c r="A18" s="60"/>
      <c r="B18" s="60"/>
      <c r="C18" s="60"/>
      <c r="D18" s="61"/>
      <c r="E18" s="61"/>
      <c r="F18" s="61"/>
      <c r="G18" s="61"/>
      <c r="H18" s="61"/>
      <c r="I18" s="61"/>
      <c r="J18" s="62"/>
      <c r="K18" s="62"/>
      <c r="L18" s="62"/>
      <c r="M18" s="63"/>
      <c r="N18" s="12" t="s">
        <v>37</v>
      </c>
      <c r="O18" s="30">
        <v>-0.10408000000000001</v>
      </c>
      <c r="P18" s="30">
        <v>-836.81690386130003</v>
      </c>
      <c r="Q18" s="30">
        <v>-0.10961</v>
      </c>
      <c r="R18" s="13">
        <v>-836.92098386129999</v>
      </c>
      <c r="S18" s="13">
        <v>-836.92651386130001</v>
      </c>
    </row>
    <row r="19" spans="1:21" x14ac:dyDescent="0.15">
      <c r="A19" s="14" t="s">
        <v>5</v>
      </c>
      <c r="B19" s="15" t="s">
        <v>6</v>
      </c>
      <c r="C19" s="16" t="s">
        <v>7</v>
      </c>
      <c r="D19" s="91" t="s">
        <v>5</v>
      </c>
      <c r="E19" s="73" t="s">
        <v>6</v>
      </c>
      <c r="F19" s="74" t="s">
        <v>7</v>
      </c>
      <c r="G19" s="91" t="s">
        <v>5</v>
      </c>
      <c r="H19" s="73" t="s">
        <v>6</v>
      </c>
      <c r="I19" s="74" t="s">
        <v>7</v>
      </c>
      <c r="J19" s="91" t="s">
        <v>5</v>
      </c>
      <c r="K19" s="73" t="s">
        <v>6</v>
      </c>
      <c r="L19" s="92" t="s">
        <v>7</v>
      </c>
      <c r="M19" s="68">
        <f>B25-2*1.68514</f>
        <v>1.5183445250602636</v>
      </c>
      <c r="N19" s="31" t="s">
        <v>38</v>
      </c>
      <c r="O19" s="7">
        <v>0.18126329499999999</v>
      </c>
      <c r="P19" s="11">
        <v>-2.04699937644182</v>
      </c>
      <c r="Q19" s="11">
        <v>6.6451118500000003E-2</v>
      </c>
      <c r="R19" s="20">
        <v>-1.86573608144182</v>
      </c>
      <c r="S19" s="11">
        <v>-1.9805482579418201</v>
      </c>
    </row>
    <row r="20" spans="1:21" x14ac:dyDescent="0.15">
      <c r="A20" s="69">
        <f>O11</f>
        <v>-9.5804887500000005E-2</v>
      </c>
      <c r="B20" s="70">
        <f>P11</f>
        <v>-193638.79063727599</v>
      </c>
      <c r="C20" s="71">
        <f>Q11</f>
        <v>-0.14826496087499999</v>
      </c>
      <c r="D20" s="91"/>
      <c r="E20" s="73"/>
      <c r="F20" s="74"/>
      <c r="G20" s="91"/>
      <c r="H20" s="73"/>
      <c r="I20" s="74"/>
      <c r="J20" s="91"/>
      <c r="K20" s="73"/>
      <c r="L20" s="92"/>
      <c r="M20" s="68"/>
      <c r="N20" s="31" t="s">
        <v>39</v>
      </c>
      <c r="O20" s="7">
        <v>-0.14448749625000001</v>
      </c>
      <c r="P20" s="11">
        <v>-2.96663566376083</v>
      </c>
      <c r="Q20" s="11">
        <v>-0.15358456300000001</v>
      </c>
      <c r="R20" s="20">
        <v>-3.11112316001083</v>
      </c>
      <c r="S20" s="11">
        <v>-3.1202202267608299</v>
      </c>
      <c r="U20">
        <f>P7-P4</f>
        <v>-2625.0865531100135</v>
      </c>
    </row>
    <row r="21" spans="1:21" x14ac:dyDescent="0.15">
      <c r="A21" s="69"/>
      <c r="B21" s="70"/>
      <c r="C21" s="71"/>
      <c r="D21" s="91"/>
      <c r="E21" s="73"/>
      <c r="F21" s="74"/>
      <c r="G21" s="91"/>
      <c r="H21" s="73"/>
      <c r="I21" s="74"/>
      <c r="J21" s="91"/>
      <c r="K21" s="73"/>
      <c r="L21" s="92"/>
      <c r="M21" s="68"/>
      <c r="N21" s="31" t="s">
        <v>40</v>
      </c>
      <c r="O21" s="7">
        <v>5.4260571250000098E-2</v>
      </c>
      <c r="P21" s="11">
        <v>-5.0406230678781903</v>
      </c>
      <c r="Q21" s="11">
        <v>-2.80357647499998E-2</v>
      </c>
      <c r="R21" s="20">
        <v>-4.9863624966281899</v>
      </c>
      <c r="S21" s="11">
        <v>-5.0686588326281896</v>
      </c>
    </row>
    <row r="22" spans="1:21" x14ac:dyDescent="0.15">
      <c r="A22" s="17" t="s">
        <v>5</v>
      </c>
      <c r="B22" s="18" t="s">
        <v>6</v>
      </c>
      <c r="C22" s="19" t="s">
        <v>7</v>
      </c>
      <c r="D22" s="93">
        <f>O4</f>
        <v>-0.19517892125</v>
      </c>
      <c r="E22" s="94">
        <f>P4</f>
        <v>-193637.75364357399</v>
      </c>
      <c r="F22" s="74">
        <f>Q4</f>
        <v>-0.21103936000000001</v>
      </c>
      <c r="G22" s="95">
        <f>-8.70386857</f>
        <v>-8.7038685699999991</v>
      </c>
      <c r="H22" s="96">
        <f>-9019974.4974297-(-8.70386857)</f>
        <v>-9019965.7935611308</v>
      </c>
      <c r="I22" s="83">
        <f>-8.651615135</f>
        <v>-8.6516151350000001</v>
      </c>
      <c r="J22" s="81">
        <f>J7</f>
        <v>-8.9407424599999992</v>
      </c>
      <c r="K22" s="81">
        <f>K7</f>
        <v>-9213597.5541339293</v>
      </c>
      <c r="L22" s="85">
        <f>L7</f>
        <v>-8.8183975179999994</v>
      </c>
      <c r="M22" s="68">
        <f>H25-2*1.68514</f>
        <v>1.3772755225602635</v>
      </c>
      <c r="N22" s="32" t="s">
        <v>41</v>
      </c>
      <c r="O22" s="7">
        <v>1.7484772500000099E-2</v>
      </c>
      <c r="P22" s="11">
        <v>-2.6988027675543001E-2</v>
      </c>
      <c r="Q22" s="11">
        <v>5.9097679750000201E-2</v>
      </c>
      <c r="R22" s="20">
        <v>-9.5032551755429295E-3</v>
      </c>
      <c r="S22" s="11">
        <v>3.2109652074457297E-2</v>
      </c>
    </row>
    <row r="23" spans="1:21" x14ac:dyDescent="0.15">
      <c r="A23" s="72">
        <f>O14</f>
        <v>-0.19517892125</v>
      </c>
      <c r="B23" s="73">
        <f>P14</f>
        <v>-193637.75364357399</v>
      </c>
      <c r="C23" s="74">
        <f>Q14</f>
        <v>-0.21103936000000001</v>
      </c>
      <c r="D23" s="93"/>
      <c r="E23" s="94"/>
      <c r="F23" s="74"/>
      <c r="G23" s="95"/>
      <c r="H23" s="96"/>
      <c r="I23" s="83"/>
      <c r="J23" s="81"/>
      <c r="K23" s="81"/>
      <c r="L23" s="85"/>
      <c r="M23" s="68"/>
      <c r="N23" s="32" t="s">
        <v>42</v>
      </c>
      <c r="O23" s="7">
        <v>0.19874806749999999</v>
      </c>
      <c r="P23" s="11">
        <v>-2.0739874041173598</v>
      </c>
      <c r="Q23" s="11">
        <v>0.12554879825000001</v>
      </c>
      <c r="R23" s="20">
        <v>-1.8752393366173601</v>
      </c>
      <c r="S23" s="11">
        <v>-1.94843860586736</v>
      </c>
      <c r="U23">
        <f>-2083.446171277/4</f>
        <v>-520.86154281924996</v>
      </c>
    </row>
    <row r="24" spans="1:21" x14ac:dyDescent="0.15">
      <c r="A24" s="72"/>
      <c r="B24" s="73"/>
      <c r="C24" s="74"/>
      <c r="D24" s="93"/>
      <c r="E24" s="94"/>
      <c r="F24" s="74"/>
      <c r="G24" s="95"/>
      <c r="H24" s="96"/>
      <c r="I24" s="83"/>
      <c r="J24" s="81"/>
      <c r="K24" s="81"/>
      <c r="L24" s="85"/>
      <c r="M24" s="68"/>
      <c r="N24" s="33" t="s">
        <v>43</v>
      </c>
      <c r="O24" s="7">
        <v>-1.102205E-3</v>
      </c>
      <c r="P24" s="11">
        <v>-15.874292754000001</v>
      </c>
      <c r="Q24" s="11">
        <v>-1.4659500000000001E-5</v>
      </c>
      <c r="R24" s="20">
        <v>-15.875394958999999</v>
      </c>
      <c r="S24" s="11">
        <v>-15.8743074135</v>
      </c>
    </row>
    <row r="25" spans="1:21" ht="13.5" customHeight="1" x14ac:dyDescent="0.15">
      <c r="A25" s="75" t="s">
        <v>44</v>
      </c>
      <c r="B25" s="76">
        <f>E25+H25</f>
        <v>4.8886245250602638</v>
      </c>
      <c r="C25" s="76"/>
      <c r="D25" s="77" t="s">
        <v>45</v>
      </c>
      <c r="E25" s="76">
        <f>G22-J22+A20</f>
        <v>0.14106900250000004</v>
      </c>
      <c r="F25" s="76"/>
      <c r="G25" s="78" t="s">
        <v>46</v>
      </c>
      <c r="H25" s="76">
        <f>H22-K22+B20+(-2)*(-5.88881)</f>
        <v>4.7475555225602637</v>
      </c>
      <c r="I25" s="76"/>
      <c r="J25" s="78" t="s">
        <v>47</v>
      </c>
      <c r="K25" s="79">
        <f>I22-L22+C20+H25</f>
        <v>4.7660729446852628</v>
      </c>
      <c r="L25" s="79"/>
      <c r="M25" s="80">
        <f>K25-2*1.68514</f>
        <v>1.3957929446852626</v>
      </c>
      <c r="N25" s="22" t="s">
        <v>48</v>
      </c>
      <c r="O25" s="7">
        <v>-0.1480136675</v>
      </c>
      <c r="P25" s="11">
        <v>-1036.8432491415001</v>
      </c>
      <c r="Q25" s="11">
        <v>-0.1454714835</v>
      </c>
      <c r="R25" s="20">
        <v>-1036.9912628090001</v>
      </c>
      <c r="S25" s="11">
        <v>-1036.988720625</v>
      </c>
      <c r="U25">
        <f>P2-P7-P6</f>
        <v>-2.698802703525871E-2</v>
      </c>
    </row>
    <row r="26" spans="1:21" x14ac:dyDescent="0.15">
      <c r="A26" s="75"/>
      <c r="B26" s="76"/>
      <c r="C26" s="76"/>
      <c r="D26" s="77"/>
      <c r="E26" s="77"/>
      <c r="F26" s="76"/>
      <c r="G26" s="78"/>
      <c r="H26" s="76"/>
      <c r="I26" s="76"/>
      <c r="J26" s="78"/>
      <c r="K26" s="79"/>
      <c r="L26" s="79"/>
      <c r="M26" s="80"/>
      <c r="N26" s="24" t="s">
        <v>49</v>
      </c>
      <c r="O26" s="7">
        <v>-2.1016450000000001E-3</v>
      </c>
      <c r="P26" s="11">
        <v>-1490.0309117805</v>
      </c>
      <c r="Q26" s="11">
        <v>-1.2895699999999999E-4</v>
      </c>
      <c r="R26" s="20">
        <v>-1490.0330134255</v>
      </c>
      <c r="S26" s="11">
        <v>-1490.0310407375</v>
      </c>
    </row>
    <row r="27" spans="1:21" x14ac:dyDescent="0.15">
      <c r="A27" s="75"/>
      <c r="B27" s="76"/>
      <c r="C27" s="76"/>
      <c r="D27" s="77"/>
      <c r="E27" s="77"/>
      <c r="F27" s="76"/>
      <c r="G27" s="78"/>
      <c r="H27" s="76"/>
      <c r="I27" s="76"/>
      <c r="J27" s="78"/>
      <c r="K27" s="79"/>
      <c r="L27" s="79"/>
      <c r="M27" s="80"/>
      <c r="N27" s="34"/>
      <c r="O27" s="34"/>
      <c r="P27" s="34"/>
      <c r="Q27" s="34"/>
      <c r="R27" s="34"/>
      <c r="S27" s="34"/>
    </row>
    <row r="28" spans="1:21" ht="13.9" customHeight="1" x14ac:dyDescent="0.15">
      <c r="A28" s="97" t="s">
        <v>50</v>
      </c>
      <c r="B28" s="98">
        <f>E28+H28</f>
        <v>5.8262441933107363</v>
      </c>
      <c r="C28" s="98"/>
      <c r="D28" s="99" t="s">
        <v>51</v>
      </c>
      <c r="E28" s="100">
        <f>G22-J22+D22</f>
        <v>4.1694968750000033E-2</v>
      </c>
      <c r="F28" s="100"/>
      <c r="G28" s="101" t="s">
        <v>52</v>
      </c>
      <c r="H28" s="100">
        <f>H22-K22+E22+(-2)*(-5.88881)</f>
        <v>5.7845492245607364</v>
      </c>
      <c r="I28" s="100"/>
      <c r="J28" s="102" t="s">
        <v>53</v>
      </c>
      <c r="K28" s="103">
        <f>I22-L22+F22+H28</f>
        <v>5.7402922475607356</v>
      </c>
      <c r="L28" s="103"/>
      <c r="M28" s="80">
        <f>K28-2*1.68514</f>
        <v>2.3700122475607355</v>
      </c>
      <c r="N28" s="34"/>
      <c r="O28" s="34"/>
      <c r="P28" s="34"/>
      <c r="Q28" s="34"/>
      <c r="R28" s="34"/>
      <c r="S28" s="34"/>
    </row>
    <row r="29" spans="1:21" x14ac:dyDescent="0.15">
      <c r="A29" s="97"/>
      <c r="B29" s="98"/>
      <c r="C29" s="98"/>
      <c r="D29" s="99"/>
      <c r="E29" s="100"/>
      <c r="F29" s="100"/>
      <c r="G29" s="101"/>
      <c r="H29" s="100"/>
      <c r="I29" s="100"/>
      <c r="J29" s="102"/>
      <c r="K29" s="103"/>
      <c r="L29" s="103"/>
      <c r="M29" s="80"/>
      <c r="N29" s="34"/>
      <c r="O29" s="34"/>
      <c r="P29" s="34"/>
      <c r="Q29" s="34"/>
      <c r="R29" s="34"/>
      <c r="S29" s="34"/>
    </row>
    <row r="30" spans="1:21" ht="33.75" x14ac:dyDescent="0.15">
      <c r="A30" s="97"/>
      <c r="B30" s="98"/>
      <c r="C30" s="98"/>
      <c r="D30" s="99"/>
      <c r="E30" s="100"/>
      <c r="F30" s="100"/>
      <c r="G30" s="101"/>
      <c r="H30" s="100"/>
      <c r="I30" s="100"/>
      <c r="J30" s="102"/>
      <c r="K30" s="103"/>
      <c r="L30" s="103"/>
      <c r="M30" s="80"/>
      <c r="N30" s="35" t="s">
        <v>54</v>
      </c>
      <c r="O30" s="2" t="s">
        <v>55</v>
      </c>
      <c r="P30" s="2" t="s">
        <v>6</v>
      </c>
      <c r="Q30" s="2" t="s">
        <v>7</v>
      </c>
      <c r="R30" s="36" t="s">
        <v>56</v>
      </c>
      <c r="S30" s="2" t="s">
        <v>9</v>
      </c>
    </row>
    <row r="31" spans="1:21" ht="13.5" customHeight="1" x14ac:dyDescent="0.15">
      <c r="A31" s="104" t="s">
        <v>57</v>
      </c>
      <c r="B31" s="104"/>
      <c r="C31" s="104"/>
      <c r="D31" s="105" t="s">
        <v>58</v>
      </c>
      <c r="E31" s="105"/>
      <c r="F31" s="105"/>
      <c r="G31" s="105" t="s">
        <v>59</v>
      </c>
      <c r="H31" s="105"/>
      <c r="I31" s="105"/>
      <c r="J31" s="106" t="s">
        <v>3</v>
      </c>
      <c r="K31" s="106"/>
      <c r="L31" s="106"/>
      <c r="M31" s="63" t="s">
        <v>122</v>
      </c>
      <c r="N31" s="6" t="s">
        <v>10</v>
      </c>
      <c r="O31" s="25">
        <f>-9.00413/8</f>
        <v>-1.12551625</v>
      </c>
      <c r="P31" s="37">
        <f>-25001.06843655/8</f>
        <v>-3125.1335545687498</v>
      </c>
      <c r="Q31" s="37">
        <v>-1.0829599999999999</v>
      </c>
      <c r="R31" s="38">
        <f t="shared" ref="R31:R36" si="0">P31+O31</f>
        <v>-3126.2590708187499</v>
      </c>
      <c r="S31" s="25">
        <f t="shared" ref="S31:S36" si="1">P31+Q31</f>
        <v>-3126.21651456875</v>
      </c>
    </row>
    <row r="32" spans="1:21" x14ac:dyDescent="0.15">
      <c r="A32" s="104"/>
      <c r="B32" s="104"/>
      <c r="C32" s="104"/>
      <c r="D32" s="105"/>
      <c r="E32" s="105"/>
      <c r="F32" s="105"/>
      <c r="G32" s="105"/>
      <c r="H32" s="105"/>
      <c r="I32" s="105"/>
      <c r="J32" s="106"/>
      <c r="K32" s="106"/>
      <c r="L32" s="106"/>
      <c r="M32" s="63"/>
      <c r="N32" s="6" t="s">
        <v>11</v>
      </c>
      <c r="O32" s="39">
        <v>-1.1990000000000001E-2</v>
      </c>
      <c r="P32" s="39">
        <v>-520.51582156749998</v>
      </c>
      <c r="Q32" s="39">
        <v>-8.1799999999999998E-3</v>
      </c>
      <c r="R32" s="38">
        <f t="shared" si="0"/>
        <v>-520.52781156749995</v>
      </c>
      <c r="S32" s="25">
        <f t="shared" si="1"/>
        <v>-520.52400156750002</v>
      </c>
      <c r="U32">
        <v>-541.34510042169995</v>
      </c>
    </row>
    <row r="33" spans="1:19" x14ac:dyDescent="0.15">
      <c r="A33" s="104"/>
      <c r="B33" s="104"/>
      <c r="C33" s="104"/>
      <c r="D33" s="105"/>
      <c r="E33" s="105"/>
      <c r="F33" s="105"/>
      <c r="G33" s="105"/>
      <c r="H33" s="105"/>
      <c r="I33" s="105"/>
      <c r="J33" s="106"/>
      <c r="K33" s="106"/>
      <c r="L33" s="106"/>
      <c r="M33" s="63"/>
      <c r="N33" s="6" t="s">
        <v>12</v>
      </c>
      <c r="O33" s="37">
        <f>-0.67676/4</f>
        <v>-0.16919000000000001</v>
      </c>
      <c r="P33" s="37">
        <v>-313.16044032125001</v>
      </c>
      <c r="Q33" s="37">
        <v>-0.16745375000000001</v>
      </c>
      <c r="R33" s="38">
        <f t="shared" si="0"/>
        <v>-313.32963032125002</v>
      </c>
      <c r="S33" s="25">
        <f t="shared" si="1"/>
        <v>-313.32789407125</v>
      </c>
    </row>
    <row r="34" spans="1:19" x14ac:dyDescent="0.15">
      <c r="A34" s="14" t="s">
        <v>5</v>
      </c>
      <c r="B34" s="15" t="s">
        <v>6</v>
      </c>
      <c r="C34" s="16" t="s">
        <v>7</v>
      </c>
      <c r="D34" s="107" t="s">
        <v>5</v>
      </c>
      <c r="E34" s="108" t="s">
        <v>6</v>
      </c>
      <c r="F34" s="109" t="s">
        <v>7</v>
      </c>
      <c r="G34" s="107" t="s">
        <v>5</v>
      </c>
      <c r="H34" s="108" t="s">
        <v>6</v>
      </c>
      <c r="I34" s="109" t="s">
        <v>7</v>
      </c>
      <c r="J34" s="107" t="s">
        <v>5</v>
      </c>
      <c r="K34" s="108" t="s">
        <v>6</v>
      </c>
      <c r="L34" s="110" t="s">
        <v>7</v>
      </c>
      <c r="M34" s="111">
        <f>B40-1.68514</f>
        <v>-0.94372344904800687</v>
      </c>
      <c r="N34" s="40" t="s">
        <v>13</v>
      </c>
      <c r="O34" s="37">
        <v>-0.33829500000000001</v>
      </c>
      <c r="P34" s="37">
        <v>-1659.5921449524999</v>
      </c>
      <c r="Q34" s="37">
        <v>-0.31450499999999998</v>
      </c>
      <c r="R34" s="38">
        <f t="shared" si="0"/>
        <v>-1659.9304399524999</v>
      </c>
      <c r="S34" s="25">
        <f t="shared" si="1"/>
        <v>-1659.9066499524999</v>
      </c>
    </row>
    <row r="35" spans="1:19" x14ac:dyDescent="0.15">
      <c r="A35" s="69">
        <f>O12</f>
        <v>-0.30121603875000003</v>
      </c>
      <c r="B35" s="70">
        <f>P12</f>
        <v>-2625.0865531095801</v>
      </c>
      <c r="C35" s="71">
        <f>Q12</f>
        <v>-0.29927296050000002</v>
      </c>
      <c r="D35" s="107"/>
      <c r="E35" s="108"/>
      <c r="F35" s="109"/>
      <c r="G35" s="107"/>
      <c r="H35" s="108"/>
      <c r="I35" s="109"/>
      <c r="J35" s="107"/>
      <c r="K35" s="108"/>
      <c r="L35" s="110"/>
      <c r="M35" s="111"/>
      <c r="N35" s="40" t="s">
        <v>14</v>
      </c>
      <c r="O35" s="37">
        <v>-0.64692000000000005</v>
      </c>
      <c r="P35" s="37">
        <f>-2287.895842303</f>
        <v>-2287.8958423029999</v>
      </c>
      <c r="Q35" s="37">
        <v>-0.66012999999999999</v>
      </c>
      <c r="R35" s="38">
        <f t="shared" si="0"/>
        <v>-2288.542762303</v>
      </c>
      <c r="S35" s="25">
        <f t="shared" si="1"/>
        <v>-2288.5559723030001</v>
      </c>
    </row>
    <row r="36" spans="1:19" x14ac:dyDescent="0.15">
      <c r="A36" s="69"/>
      <c r="B36" s="70"/>
      <c r="C36" s="71"/>
      <c r="D36" s="107"/>
      <c r="E36" s="108"/>
      <c r="F36" s="109"/>
      <c r="G36" s="107"/>
      <c r="H36" s="108"/>
      <c r="I36" s="109"/>
      <c r="J36" s="107"/>
      <c r="K36" s="108"/>
      <c r="L36" s="110"/>
      <c r="M36" s="111"/>
      <c r="N36" s="40" t="s">
        <v>15</v>
      </c>
      <c r="O36" s="39">
        <v>-0.49839</v>
      </c>
      <c r="P36" s="39">
        <v>-836.81690697830004</v>
      </c>
      <c r="Q36" s="39">
        <v>-0.51073500000000005</v>
      </c>
      <c r="R36" s="38">
        <f t="shared" si="0"/>
        <v>-837.31529697830001</v>
      </c>
      <c r="S36" s="25">
        <f t="shared" si="1"/>
        <v>-837.32764197829999</v>
      </c>
    </row>
    <row r="37" spans="1:19" x14ac:dyDescent="0.15">
      <c r="A37" s="17" t="s">
        <v>5</v>
      </c>
      <c r="B37" s="18" t="s">
        <v>6</v>
      </c>
      <c r="C37" s="19" t="s">
        <v>7</v>
      </c>
      <c r="D37" s="115">
        <f>-0.27401/4</f>
        <v>-6.8502499999999994E-2</v>
      </c>
      <c r="E37" s="116">
        <f>-2083.936757544/4</f>
        <v>-520.98418938600003</v>
      </c>
      <c r="F37" s="74">
        <f>-0.2787/4</f>
        <v>-6.9675000000000001E-2</v>
      </c>
      <c r="G37" s="117">
        <f>-8.42004553</f>
        <v>-8.4200455299999994</v>
      </c>
      <c r="H37" s="118">
        <f>-9210986.14596069-(-8.42004553)</f>
        <v>-9210977.72591516</v>
      </c>
      <c r="I37" s="83">
        <f>-8.24553128</f>
        <v>-8.2455312799999998</v>
      </c>
      <c r="J37" s="117">
        <f>J7</f>
        <v>-8.9407424599999992</v>
      </c>
      <c r="K37" s="118">
        <f>K7</f>
        <v>-9213597.5541339293</v>
      </c>
      <c r="L37" s="85">
        <f>L7</f>
        <v>-8.8183975179999994</v>
      </c>
      <c r="M37" s="68">
        <f>H40-1.68514</f>
        <v>-1.1632043402980066</v>
      </c>
      <c r="N37" s="41" t="s">
        <v>60</v>
      </c>
      <c r="O37" s="22">
        <f>O52/2</f>
        <v>-3.7034374999999981E-2</v>
      </c>
      <c r="P37" s="22">
        <f>P52/2</f>
        <v>-1.3780667991323412</v>
      </c>
      <c r="Q37" s="22">
        <f>Q52/2</f>
        <v>-2.9874999999999846E-2</v>
      </c>
      <c r="R37" s="22">
        <f>R52/2</f>
        <v>-1.4151011741323412</v>
      </c>
      <c r="S37" s="22">
        <f>S52/2</f>
        <v>-1.4079417991323411</v>
      </c>
    </row>
    <row r="38" spans="1:19" x14ac:dyDescent="0.15">
      <c r="A38" s="72">
        <f>O13</f>
        <v>-0.40059007250000001</v>
      </c>
      <c r="B38" s="73">
        <f>P13</f>
        <v>-2624.0495594075201</v>
      </c>
      <c r="C38" s="74">
        <f>Q13</f>
        <v>-0.36204735962500001</v>
      </c>
      <c r="D38" s="115"/>
      <c r="E38" s="116"/>
      <c r="F38" s="74"/>
      <c r="G38" s="117"/>
      <c r="H38" s="118"/>
      <c r="I38" s="83"/>
      <c r="J38" s="117"/>
      <c r="K38" s="118"/>
      <c r="L38" s="85"/>
      <c r="M38" s="68"/>
      <c r="N38" s="41" t="s">
        <v>61</v>
      </c>
      <c r="O38" s="22">
        <f>O52</f>
        <v>-7.4068749999999961E-2</v>
      </c>
      <c r="P38" s="22">
        <f>P52</f>
        <v>-2.7561335982646824</v>
      </c>
      <c r="Q38" s="22">
        <f>Q52</f>
        <v>-5.9749999999999692E-2</v>
      </c>
      <c r="R38" s="22">
        <f>R52</f>
        <v>-2.8302023482646823</v>
      </c>
      <c r="S38" s="22">
        <f>S52</f>
        <v>-2.8158835982646822</v>
      </c>
    </row>
    <row r="39" spans="1:19" ht="15" x14ac:dyDescent="0.15">
      <c r="A39" s="72"/>
      <c r="B39" s="73"/>
      <c r="C39" s="74"/>
      <c r="D39" s="115"/>
      <c r="E39" s="116"/>
      <c r="F39" s="74"/>
      <c r="G39" s="117"/>
      <c r="H39" s="118"/>
      <c r="I39" s="83"/>
      <c r="J39" s="117"/>
      <c r="K39" s="118"/>
      <c r="L39" s="85"/>
      <c r="M39" s="68"/>
      <c r="N39" s="42" t="s">
        <v>62</v>
      </c>
      <c r="O39" s="25">
        <f>O34+O38</f>
        <v>-0.41236374999999997</v>
      </c>
      <c r="P39" s="25">
        <f>P34+P38</f>
        <v>-1662.3482785507645</v>
      </c>
      <c r="Q39" s="25">
        <f>Q34+Q38</f>
        <v>-0.37425499999999967</v>
      </c>
      <c r="R39" s="38">
        <f>P39+O39</f>
        <v>-1662.7606423007644</v>
      </c>
      <c r="S39" s="38">
        <f>Q39+P39</f>
        <v>-1662.7225335507644</v>
      </c>
    </row>
    <row r="40" spans="1:19" ht="15" customHeight="1" x14ac:dyDescent="0.15">
      <c r="A40" s="112" t="s">
        <v>18</v>
      </c>
      <c r="B40" s="113">
        <f>E40+H40</f>
        <v>0.74141655095199321</v>
      </c>
      <c r="C40" s="113"/>
      <c r="D40" s="99" t="s">
        <v>19</v>
      </c>
      <c r="E40" s="113">
        <f>G37-J37+A35</f>
        <v>0.2194808912499997</v>
      </c>
      <c r="F40" s="113"/>
      <c r="G40" s="102" t="s">
        <v>20</v>
      </c>
      <c r="H40" s="113">
        <f>H37-K37+B35+(-1)*(-5.78027)</f>
        <v>0.52193565970199352</v>
      </c>
      <c r="I40" s="113"/>
      <c r="J40" s="102" t="s">
        <v>21</v>
      </c>
      <c r="K40" s="114">
        <f>I37-L37+C35+H40</f>
        <v>0.79552893720199314</v>
      </c>
      <c r="L40" s="114"/>
      <c r="M40" s="80">
        <f>K40-1.68514</f>
        <v>-0.88961106279800695</v>
      </c>
      <c r="N40" s="43" t="s">
        <v>63</v>
      </c>
      <c r="O40" s="28">
        <f>O33+O37</f>
        <v>-0.20622437499999999</v>
      </c>
      <c r="P40" s="28">
        <f>P33+P37</f>
        <v>-314.53850712038235</v>
      </c>
      <c r="Q40" s="28">
        <f>Q33+Q37</f>
        <v>-0.19732874999999986</v>
      </c>
      <c r="R40" s="38">
        <f t="shared" ref="R40:R46" si="2">P40+O40</f>
        <v>-314.74473149538233</v>
      </c>
      <c r="S40" s="28">
        <f>S33+S37</f>
        <v>-314.73583587038235</v>
      </c>
    </row>
    <row r="41" spans="1:19" ht="15" x14ac:dyDescent="0.15">
      <c r="A41" s="112"/>
      <c r="B41" s="113"/>
      <c r="C41" s="113"/>
      <c r="D41" s="99"/>
      <c r="E41" s="99"/>
      <c r="F41" s="113"/>
      <c r="G41" s="102"/>
      <c r="H41" s="113"/>
      <c r="I41" s="113"/>
      <c r="J41" s="102"/>
      <c r="K41" s="114"/>
      <c r="L41" s="114"/>
      <c r="M41" s="80"/>
      <c r="N41" s="43" t="s">
        <v>64</v>
      </c>
      <c r="O41" s="25">
        <f>O31-O39-3*O33</f>
        <v>-0.2055825</v>
      </c>
      <c r="P41" s="25">
        <f>P31-P39-3*P33</f>
        <v>-523.3039550542353</v>
      </c>
      <c r="Q41" s="25">
        <f>Q31-Q39-3*Q33</f>
        <v>-0.20634375000000016</v>
      </c>
      <c r="R41" s="38">
        <f t="shared" si="2"/>
        <v>-523.50953755423529</v>
      </c>
      <c r="S41" s="25">
        <f t="shared" ref="S41:S46" si="3">P41+Q41</f>
        <v>-523.51029880423528</v>
      </c>
    </row>
    <row r="42" spans="1:19" ht="15" x14ac:dyDescent="0.15">
      <c r="A42" s="112"/>
      <c r="B42" s="113"/>
      <c r="C42" s="113"/>
      <c r="D42" s="99"/>
      <c r="E42" s="99"/>
      <c r="F42" s="113"/>
      <c r="G42" s="102"/>
      <c r="H42" s="113"/>
      <c r="I42" s="113"/>
      <c r="J42" s="102"/>
      <c r="K42" s="114"/>
      <c r="L42" s="114"/>
      <c r="M42" s="80"/>
      <c r="N42" s="43" t="s">
        <v>65</v>
      </c>
      <c r="O42" s="28">
        <f>O31-O34-3*O40</f>
        <v>-0.16854812500000005</v>
      </c>
      <c r="P42" s="28">
        <f>P31-P34-3*P40</f>
        <v>-521.92588825510279</v>
      </c>
      <c r="Q42" s="28">
        <f>Q31-Q34-3*Q40</f>
        <v>-0.17646875000000029</v>
      </c>
      <c r="R42" s="38">
        <f t="shared" si="2"/>
        <v>-522.09443638010282</v>
      </c>
      <c r="S42" s="25">
        <f t="shared" si="3"/>
        <v>-522.10235700510282</v>
      </c>
    </row>
    <row r="43" spans="1:19" ht="15" customHeight="1" x14ac:dyDescent="0.15">
      <c r="A43" s="119" t="s">
        <v>44</v>
      </c>
      <c r="B43" s="120">
        <f>E43+H43</f>
        <v>1.6790362192620378</v>
      </c>
      <c r="C43" s="120"/>
      <c r="D43" s="121" t="s">
        <v>45</v>
      </c>
      <c r="E43" s="122">
        <f>G37-J37+A38</f>
        <v>0.12010685749999972</v>
      </c>
      <c r="F43" s="122"/>
      <c r="G43" s="123" t="s">
        <v>46</v>
      </c>
      <c r="H43" s="122">
        <f>H37-K37+B38+(-1)*(-5.78027)</f>
        <v>1.5589293617620381</v>
      </c>
      <c r="I43" s="122"/>
      <c r="J43" s="124" t="s">
        <v>47</v>
      </c>
      <c r="K43" s="125">
        <f>I37-L37+C38+H43</f>
        <v>1.7697482401370377</v>
      </c>
      <c r="L43" s="125"/>
      <c r="M43" s="80">
        <f>K43-1.68514</f>
        <v>8.4608240137037605E-2</v>
      </c>
      <c r="N43" s="43" t="s">
        <v>66</v>
      </c>
      <c r="O43" s="25">
        <f t="shared" ref="O43:Q44" si="4">O33</f>
        <v>-0.16919000000000001</v>
      </c>
      <c r="P43" s="25">
        <f t="shared" si="4"/>
        <v>-313.16044032125001</v>
      </c>
      <c r="Q43" s="25">
        <f t="shared" si="4"/>
        <v>-0.16745375000000001</v>
      </c>
      <c r="R43" s="38">
        <f t="shared" si="2"/>
        <v>-313.32963032125002</v>
      </c>
      <c r="S43" s="25">
        <f t="shared" si="3"/>
        <v>-313.32789407125</v>
      </c>
    </row>
    <row r="44" spans="1:19" ht="15" x14ac:dyDescent="0.15">
      <c r="A44" s="119"/>
      <c r="B44" s="120"/>
      <c r="C44" s="120"/>
      <c r="D44" s="121"/>
      <c r="E44" s="121"/>
      <c r="F44" s="122"/>
      <c r="G44" s="123"/>
      <c r="H44" s="123"/>
      <c r="I44" s="122"/>
      <c r="J44" s="124"/>
      <c r="K44" s="125"/>
      <c r="L44" s="125"/>
      <c r="M44" s="80"/>
      <c r="N44" s="43" t="s">
        <v>67</v>
      </c>
      <c r="O44" s="25">
        <f t="shared" si="4"/>
        <v>-0.33829500000000001</v>
      </c>
      <c r="P44" s="25">
        <f t="shared" si="4"/>
        <v>-1659.5921449524999</v>
      </c>
      <c r="Q44" s="25">
        <f t="shared" si="4"/>
        <v>-0.31450499999999998</v>
      </c>
      <c r="R44" s="38">
        <f t="shared" si="2"/>
        <v>-1659.9304399524999</v>
      </c>
      <c r="S44" s="25">
        <f t="shared" si="3"/>
        <v>-1659.9066499524999</v>
      </c>
    </row>
    <row r="45" spans="1:19" ht="15" x14ac:dyDescent="0.15">
      <c r="A45" s="119"/>
      <c r="B45" s="120"/>
      <c r="C45" s="120"/>
      <c r="D45" s="121"/>
      <c r="E45" s="121"/>
      <c r="F45" s="122"/>
      <c r="G45" s="123"/>
      <c r="H45" s="123"/>
      <c r="I45" s="122"/>
      <c r="J45" s="124"/>
      <c r="K45" s="125"/>
      <c r="L45" s="125"/>
      <c r="M45" s="80"/>
      <c r="N45" s="43" t="s">
        <v>68</v>
      </c>
      <c r="O45" s="25">
        <f>O40</f>
        <v>-0.20622437499999999</v>
      </c>
      <c r="P45" s="25">
        <f>P40</f>
        <v>-314.53850712038235</v>
      </c>
      <c r="Q45" s="25">
        <f>Q40</f>
        <v>-0.19732874999999986</v>
      </c>
      <c r="R45" s="38">
        <f t="shared" si="2"/>
        <v>-314.74473149538233</v>
      </c>
      <c r="S45" s="25">
        <f t="shared" si="3"/>
        <v>-314.73583587038235</v>
      </c>
    </row>
    <row r="46" spans="1:19" ht="15" customHeight="1" x14ac:dyDescent="0.15">
      <c r="A46" s="126" t="str">
        <f>A16</f>
        <v>μI(I-poor, I-rich)</v>
      </c>
      <c r="B46" s="126"/>
      <c r="C46" s="126"/>
      <c r="D46" s="127" t="str">
        <f>D16</f>
        <v>I(Bulk)</v>
      </c>
      <c r="E46" s="127"/>
      <c r="F46" s="127"/>
      <c r="G46" s="127" t="s">
        <v>69</v>
      </c>
      <c r="H46" s="127"/>
      <c r="I46" s="127"/>
      <c r="J46" s="127" t="str">
        <f>J16</f>
        <v>E(MAPbI3)perfect</v>
      </c>
      <c r="K46" s="127"/>
      <c r="L46" s="127"/>
      <c r="M46" s="128" t="s">
        <v>122</v>
      </c>
      <c r="N46" s="43" t="s">
        <v>70</v>
      </c>
      <c r="O46" s="25">
        <f>O43</f>
        <v>-0.16919000000000001</v>
      </c>
      <c r="P46" s="25">
        <f>P43</f>
        <v>-313.16044032125001</v>
      </c>
      <c r="Q46" s="25">
        <f>Q43</f>
        <v>-0.16745375000000001</v>
      </c>
      <c r="R46" s="38">
        <f t="shared" si="2"/>
        <v>-313.32963032125002</v>
      </c>
      <c r="S46" s="25">
        <f t="shared" si="3"/>
        <v>-313.32789407125</v>
      </c>
    </row>
    <row r="47" spans="1:19" ht="13.5" customHeight="1" x14ac:dyDescent="0.15">
      <c r="A47" s="126"/>
      <c r="B47" s="126"/>
      <c r="C47" s="126"/>
      <c r="D47" s="127"/>
      <c r="E47" s="127"/>
      <c r="F47" s="127"/>
      <c r="G47" s="127"/>
      <c r="H47" s="127"/>
      <c r="I47" s="127"/>
      <c r="J47" s="127"/>
      <c r="K47" s="127"/>
      <c r="L47" s="127"/>
      <c r="M47" s="128"/>
      <c r="N47" s="25"/>
      <c r="O47" s="25"/>
      <c r="P47" s="25"/>
      <c r="Q47" s="25"/>
      <c r="R47" s="38"/>
      <c r="S47" s="25"/>
    </row>
    <row r="48" spans="1:19" ht="14.25" customHeight="1" x14ac:dyDescent="0.15">
      <c r="A48" s="126"/>
      <c r="B48" s="126"/>
      <c r="C48" s="126"/>
      <c r="D48" s="127"/>
      <c r="E48" s="127"/>
      <c r="F48" s="127"/>
      <c r="G48" s="127"/>
      <c r="H48" s="127"/>
      <c r="I48" s="127"/>
      <c r="J48" s="127"/>
      <c r="K48" s="127"/>
      <c r="L48" s="127"/>
      <c r="M48" s="128"/>
      <c r="N48" s="31" t="s">
        <v>71</v>
      </c>
      <c r="O48" s="25">
        <f>O35-O34-2*O33</f>
        <v>2.9754999999999976E-2</v>
      </c>
      <c r="P48" s="25">
        <f>P35-P34-2*P33</f>
        <v>-1.982816707999973</v>
      </c>
      <c r="Q48" s="25">
        <f>Q35-Q34-2*Q33</f>
        <v>-1.0717499999999991E-2</v>
      </c>
      <c r="R48" s="38">
        <f t="shared" ref="R48:R55" si="5">P48+O48</f>
        <v>-1.953061707999973</v>
      </c>
      <c r="S48" s="25">
        <f t="shared" ref="S48:S55" si="6">P48+Q48</f>
        <v>-1.9935342079999729</v>
      </c>
    </row>
    <row r="49" spans="1:19" ht="14.25" customHeight="1" x14ac:dyDescent="0.15">
      <c r="A49" s="14" t="str">
        <f t="shared" ref="A49:L49" si="7">A19</f>
        <v>MBD</v>
      </c>
      <c r="B49" s="15" t="str">
        <f t="shared" si="7"/>
        <v>PBE</v>
      </c>
      <c r="C49" s="16" t="str">
        <f t="shared" si="7"/>
        <v>TS</v>
      </c>
      <c r="D49" s="129" t="str">
        <f t="shared" si="7"/>
        <v>MBD</v>
      </c>
      <c r="E49" s="130" t="str">
        <f t="shared" si="7"/>
        <v>PBE</v>
      </c>
      <c r="F49" s="67" t="str">
        <f t="shared" si="7"/>
        <v>TS</v>
      </c>
      <c r="G49" s="129" t="str">
        <f t="shared" si="7"/>
        <v>MBD</v>
      </c>
      <c r="H49" s="130" t="str">
        <f t="shared" si="7"/>
        <v>PBE</v>
      </c>
      <c r="I49" s="67" t="str">
        <f t="shared" si="7"/>
        <v>TS</v>
      </c>
      <c r="J49" s="129" t="str">
        <f t="shared" si="7"/>
        <v>MBD</v>
      </c>
      <c r="K49" s="130" t="str">
        <f t="shared" si="7"/>
        <v>PBE</v>
      </c>
      <c r="L49" s="67" t="str">
        <f t="shared" si="7"/>
        <v>TS</v>
      </c>
      <c r="M49" s="68">
        <f>B55+1.68514</f>
        <v>1.3006275451357365</v>
      </c>
      <c r="N49" s="31" t="s">
        <v>39</v>
      </c>
      <c r="O49" s="25">
        <f>O36-O54-O55-6*O53-O33</f>
        <v>-0.1935925</v>
      </c>
      <c r="P49" s="25">
        <f>P36-P54-P55-6*P53-P33</f>
        <v>-2.7881334867350915</v>
      </c>
      <c r="Q49" s="25">
        <f>Q36-Q54-Q55-6*Q53-Q33</f>
        <v>-0.19816375000000003</v>
      </c>
      <c r="R49" s="38">
        <f t="shared" si="5"/>
        <v>-2.9817259867350914</v>
      </c>
      <c r="S49" s="25">
        <f t="shared" si="6"/>
        <v>-2.9862972367350915</v>
      </c>
    </row>
    <row r="50" spans="1:19" x14ac:dyDescent="0.15">
      <c r="A50" s="131">
        <f>A20</f>
        <v>-9.5804887500000005E-2</v>
      </c>
      <c r="B50" s="132">
        <f>B20</f>
        <v>-193638.79063727599</v>
      </c>
      <c r="C50" s="133">
        <f>C20</f>
        <v>-0.14826496087499999</v>
      </c>
      <c r="D50" s="129"/>
      <c r="E50" s="130"/>
      <c r="F50" s="67"/>
      <c r="G50" s="129"/>
      <c r="H50" s="130"/>
      <c r="I50" s="67"/>
      <c r="J50" s="129"/>
      <c r="K50" s="130"/>
      <c r="L50" s="67"/>
      <c r="M50" s="68"/>
      <c r="N50" s="31" t="s">
        <v>72</v>
      </c>
      <c r="O50" s="25">
        <f>O31-O32-O34-3*O33</f>
        <v>-0.26766124999999996</v>
      </c>
      <c r="P50" s="44">
        <f>P31-P32-P34-3*P33</f>
        <v>-5.5442670849997739</v>
      </c>
      <c r="Q50" s="25">
        <f>Q31-Q32-Q34-3*Q33</f>
        <v>-0.25791374999999972</v>
      </c>
      <c r="R50" s="38">
        <f t="shared" si="5"/>
        <v>-5.8119283349997737</v>
      </c>
      <c r="S50" s="25">
        <f t="shared" si="6"/>
        <v>-5.8021808349997741</v>
      </c>
    </row>
    <row r="51" spans="1:19" x14ac:dyDescent="0.15">
      <c r="A51" s="131"/>
      <c r="B51" s="132"/>
      <c r="C51" s="133"/>
      <c r="D51" s="129"/>
      <c r="E51" s="130"/>
      <c r="F51" s="67"/>
      <c r="G51" s="129"/>
      <c r="H51" s="130"/>
      <c r="I51" s="67"/>
      <c r="J51" s="129"/>
      <c r="K51" s="130"/>
      <c r="L51" s="67"/>
      <c r="M51" s="68"/>
      <c r="N51" s="32" t="s">
        <v>73</v>
      </c>
      <c r="O51" s="25">
        <f>O50-O49-O48</f>
        <v>-0.10382374999999994</v>
      </c>
      <c r="P51" s="25">
        <f>P50-P49-P48</f>
        <v>-0.7733168902647094</v>
      </c>
      <c r="Q51" s="25">
        <f>Q50-Q49-Q48</f>
        <v>-4.9032499999999701E-2</v>
      </c>
      <c r="R51" s="38">
        <f t="shared" si="5"/>
        <v>-0.87714064026470928</v>
      </c>
      <c r="S51" s="25">
        <f t="shared" si="6"/>
        <v>-0.8223493902647091</v>
      </c>
    </row>
    <row r="52" spans="1:19" ht="14.25" customHeight="1" x14ac:dyDescent="0.15">
      <c r="A52" s="45" t="str">
        <f t="shared" ref="A52:F52" si="8">A22</f>
        <v>MBD</v>
      </c>
      <c r="B52" s="18" t="str">
        <f t="shared" si="8"/>
        <v>PBE</v>
      </c>
      <c r="C52" s="19" t="str">
        <f t="shared" si="8"/>
        <v>TS</v>
      </c>
      <c r="D52" s="139">
        <f t="shared" si="8"/>
        <v>-0.19517892125</v>
      </c>
      <c r="E52" s="140">
        <f t="shared" si="8"/>
        <v>-193637.75364357399</v>
      </c>
      <c r="F52" s="136">
        <f t="shared" si="8"/>
        <v>-0.21103936000000001</v>
      </c>
      <c r="G52" s="141">
        <f>-8.51072941</f>
        <v>-8.5107294099999997</v>
      </c>
      <c r="H52" s="142">
        <f>-9019962.22255668+8.51072941</f>
        <v>-9019953.7118272707</v>
      </c>
      <c r="I52" s="143">
        <f>-8.342119532</f>
        <v>-8.3421195319999999</v>
      </c>
      <c r="J52" s="144">
        <f>J22</f>
        <v>-8.9407424599999992</v>
      </c>
      <c r="K52" s="145">
        <f>K22</f>
        <v>-9213597.5541339293</v>
      </c>
      <c r="L52" s="146">
        <f>L22</f>
        <v>-8.8183975179999994</v>
      </c>
      <c r="M52" s="68">
        <f>H55+1.68514</f>
        <v>0.96641938263573701</v>
      </c>
      <c r="N52" s="32" t="s">
        <v>74</v>
      </c>
      <c r="O52" s="25">
        <f>O50-O49</f>
        <v>-7.4068749999999961E-2</v>
      </c>
      <c r="P52" s="25">
        <f>P50-P49</f>
        <v>-2.7561335982646824</v>
      </c>
      <c r="Q52" s="25">
        <f>Q50-Q49</f>
        <v>-5.9749999999999692E-2</v>
      </c>
      <c r="R52" s="38">
        <f t="shared" si="5"/>
        <v>-2.8302023482646823</v>
      </c>
      <c r="S52" s="25">
        <f t="shared" si="6"/>
        <v>-2.8158835982646822</v>
      </c>
    </row>
    <row r="53" spans="1:19" x14ac:dyDescent="0.15">
      <c r="A53" s="134">
        <f>A23</f>
        <v>-0.19517892125</v>
      </c>
      <c r="B53" s="135">
        <f>B23</f>
        <v>-193637.75364357399</v>
      </c>
      <c r="C53" s="136">
        <f>C23</f>
        <v>-0.21103936000000001</v>
      </c>
      <c r="D53" s="139"/>
      <c r="E53" s="140"/>
      <c r="F53" s="136"/>
      <c r="G53" s="141"/>
      <c r="H53" s="142"/>
      <c r="I53" s="143"/>
      <c r="J53" s="144"/>
      <c r="K53" s="145"/>
      <c r="L53" s="146"/>
      <c r="M53" s="68"/>
      <c r="N53" s="33" t="s">
        <v>43</v>
      </c>
      <c r="O53" s="25">
        <f>-0.00003/2</f>
        <v>-1.5E-5</v>
      </c>
      <c r="P53" s="25">
        <f>-31.69580258858/2</f>
        <v>-15.847901294290001</v>
      </c>
      <c r="Q53" s="25">
        <f>-0.00003/2</f>
        <v>-1.5E-5</v>
      </c>
      <c r="R53" s="38">
        <f t="shared" si="5"/>
        <v>-15.84791629429</v>
      </c>
      <c r="S53" s="25">
        <f t="shared" si="6"/>
        <v>-15.84791629429</v>
      </c>
    </row>
    <row r="54" spans="1:19" x14ac:dyDescent="0.15">
      <c r="A54" s="134"/>
      <c r="B54" s="135"/>
      <c r="C54" s="136"/>
      <c r="D54" s="139"/>
      <c r="E54" s="140"/>
      <c r="F54" s="136"/>
      <c r="G54" s="141"/>
      <c r="H54" s="142"/>
      <c r="I54" s="143"/>
      <c r="J54" s="144"/>
      <c r="K54" s="145"/>
      <c r="L54" s="146"/>
      <c r="M54" s="68"/>
      <c r="N54" s="22" t="s">
        <v>48</v>
      </c>
      <c r="O54" s="25">
        <f>-0.54157/4</f>
        <v>-0.1353925</v>
      </c>
      <c r="P54" s="25">
        <f>-620.2735402879/4</f>
        <v>-155.068385071975</v>
      </c>
      <c r="Q54" s="25">
        <f>-0.57959/4</f>
        <v>-0.14489750000000001</v>
      </c>
      <c r="R54" s="38">
        <f t="shared" si="5"/>
        <v>-155.203777571975</v>
      </c>
      <c r="S54" s="25">
        <f t="shared" si="6"/>
        <v>-155.21328257197501</v>
      </c>
    </row>
    <row r="55" spans="1:19" ht="13.5" customHeight="1" x14ac:dyDescent="0.15">
      <c r="A55" s="112" t="str">
        <f>A25</f>
        <v>Ef(MBD+PBE)
I-poor</v>
      </c>
      <c r="B55" s="137">
        <f>E55+H55</f>
        <v>-0.38451245486426361</v>
      </c>
      <c r="C55" s="137"/>
      <c r="D55" s="101" t="str">
        <f>D25</f>
        <v>MBD
I-poor</v>
      </c>
      <c r="E55" s="137">
        <f>G52-J52+A50</f>
        <v>0.33420816249999946</v>
      </c>
      <c r="F55" s="137"/>
      <c r="G55" s="101" t="str">
        <f>G25</f>
        <v>PBE
I-poor</v>
      </c>
      <c r="H55" s="137">
        <f>H52-K52+B50+(1)*(-5.77039)</f>
        <v>-0.71872061736426307</v>
      </c>
      <c r="I55" s="137"/>
      <c r="J55" s="138" t="str">
        <f>J25</f>
        <v>TS
I-poor</v>
      </c>
      <c r="K55" s="114">
        <f>I52-L52+C50+H55</f>
        <v>-0.39070759223926355</v>
      </c>
      <c r="L55" s="114"/>
      <c r="M55" s="80">
        <f>K55+1.68514</f>
        <v>1.2944324077607365</v>
      </c>
      <c r="N55" s="24" t="s">
        <v>49</v>
      </c>
      <c r="O55" s="25">
        <f>-0.00025/2</f>
        <v>-1.25E-4</v>
      </c>
      <c r="P55" s="25">
        <f>-541.4250806652/2</f>
        <v>-270.71254033259999</v>
      </c>
      <c r="Q55" s="25">
        <f>-0.00026/2</f>
        <v>-1.2999999999999999E-4</v>
      </c>
      <c r="R55" s="38">
        <f t="shared" si="5"/>
        <v>-270.71266533260001</v>
      </c>
      <c r="S55" s="25">
        <f t="shared" si="6"/>
        <v>-270.7126703326</v>
      </c>
    </row>
    <row r="56" spans="1:19" x14ac:dyDescent="0.15">
      <c r="A56" s="112"/>
      <c r="B56" s="137"/>
      <c r="C56" s="137"/>
      <c r="D56" s="101"/>
      <c r="E56" s="137"/>
      <c r="F56" s="137"/>
      <c r="G56" s="101"/>
      <c r="H56" s="137"/>
      <c r="I56" s="137"/>
      <c r="J56" s="138"/>
      <c r="K56" s="114"/>
      <c r="L56" s="114"/>
      <c r="M56" s="80"/>
    </row>
    <row r="57" spans="1:19" x14ac:dyDescent="0.15">
      <c r="A57" s="112"/>
      <c r="B57" s="137"/>
      <c r="C57" s="137"/>
      <c r="D57" s="101"/>
      <c r="E57" s="137"/>
      <c r="F57" s="137"/>
      <c r="G57" s="101"/>
      <c r="H57" s="137"/>
      <c r="I57" s="137"/>
      <c r="J57" s="138"/>
      <c r="K57" s="114"/>
      <c r="L57" s="114"/>
      <c r="M57" s="80"/>
    </row>
    <row r="58" spans="1:19" ht="13.5" customHeight="1" x14ac:dyDescent="0.15">
      <c r="A58" s="112" t="str">
        <f>A28</f>
        <v>Ef(MBD+PBE)
I-rich</v>
      </c>
      <c r="B58" s="137">
        <f>H58+E58</f>
        <v>0.55310721338620905</v>
      </c>
      <c r="C58" s="137"/>
      <c r="D58" s="101" t="str">
        <f>D28</f>
        <v>MBD
I-rich</v>
      </c>
      <c r="E58" s="137">
        <f>G52-J52+A53</f>
        <v>0.23483412874999945</v>
      </c>
      <c r="F58" s="137"/>
      <c r="G58" s="101" t="str">
        <f>G28</f>
        <v>PBE
I-rich</v>
      </c>
      <c r="H58" s="137">
        <f>H52-K52+B53+(1)*(-5.77039)</f>
        <v>0.31827308463620962</v>
      </c>
      <c r="I58" s="137"/>
      <c r="J58" s="101" t="str">
        <f>J28</f>
        <v>TS
I-rich</v>
      </c>
      <c r="K58" s="114">
        <f>I52-L52+C53+H58</f>
        <v>0.5835117106362091</v>
      </c>
      <c r="L58" s="114"/>
      <c r="M58" s="80">
        <f>K58+1.68514</f>
        <v>2.2686517106362092</v>
      </c>
    </row>
    <row r="59" spans="1:19" x14ac:dyDescent="0.15">
      <c r="A59" s="112"/>
      <c r="B59" s="137"/>
      <c r="C59" s="137"/>
      <c r="D59" s="101"/>
      <c r="E59" s="137"/>
      <c r="F59" s="137"/>
      <c r="G59" s="101"/>
      <c r="H59" s="137"/>
      <c r="I59" s="137"/>
      <c r="J59" s="101"/>
      <c r="K59" s="114"/>
      <c r="L59" s="114"/>
      <c r="M59" s="80"/>
    </row>
    <row r="60" spans="1:19" ht="33.75" x14ac:dyDescent="0.15">
      <c r="A60" s="112"/>
      <c r="B60" s="137"/>
      <c r="C60" s="137"/>
      <c r="D60" s="101"/>
      <c r="E60" s="137"/>
      <c r="F60" s="137"/>
      <c r="G60" s="101"/>
      <c r="H60" s="137"/>
      <c r="I60" s="137"/>
      <c r="J60" s="101"/>
      <c r="K60" s="114"/>
      <c r="L60" s="114"/>
      <c r="M60" s="80"/>
      <c r="N60" s="46" t="s">
        <v>75</v>
      </c>
      <c r="O60" s="47" t="s">
        <v>56</v>
      </c>
      <c r="P60" s="48" t="s">
        <v>6</v>
      </c>
      <c r="Q60" s="49" t="s">
        <v>9</v>
      </c>
    </row>
    <row r="61" spans="1:19" ht="13.5" customHeight="1" x14ac:dyDescent="0.15">
      <c r="A61" s="147" t="s">
        <v>76</v>
      </c>
      <c r="B61" s="147"/>
      <c r="C61" s="147"/>
      <c r="D61" s="147" t="s">
        <v>1</v>
      </c>
      <c r="E61" s="147"/>
      <c r="F61" s="147"/>
      <c r="G61" s="147" t="s">
        <v>77</v>
      </c>
      <c r="H61" s="147"/>
      <c r="I61" s="147"/>
      <c r="J61" s="148" t="s">
        <v>3</v>
      </c>
      <c r="K61" s="148"/>
      <c r="L61" s="148"/>
      <c r="M61" s="128" t="s">
        <v>122</v>
      </c>
      <c r="N61" s="50" t="s">
        <v>12</v>
      </c>
      <c r="O61" s="25">
        <v>-313.32963032125002</v>
      </c>
      <c r="P61" s="25"/>
      <c r="Q61" s="25"/>
    </row>
    <row r="62" spans="1:19" x14ac:dyDescent="0.15">
      <c r="A62" s="147"/>
      <c r="B62" s="147"/>
      <c r="C62" s="147"/>
      <c r="D62" s="147"/>
      <c r="E62" s="147"/>
      <c r="F62" s="147"/>
      <c r="G62" s="147"/>
      <c r="H62" s="147"/>
      <c r="I62" s="147"/>
      <c r="J62" s="148"/>
      <c r="K62" s="148"/>
      <c r="L62" s="148"/>
      <c r="M62" s="128"/>
      <c r="N62" s="51" t="s">
        <v>13</v>
      </c>
      <c r="O62" s="25"/>
      <c r="P62" s="37">
        <v>-1659.5921449524999</v>
      </c>
      <c r="Q62" s="25">
        <v>-1659.9066499524999</v>
      </c>
    </row>
    <row r="63" spans="1:19" x14ac:dyDescent="0.15">
      <c r="A63" s="147"/>
      <c r="B63" s="147"/>
      <c r="C63" s="147"/>
      <c r="D63" s="147"/>
      <c r="E63" s="147"/>
      <c r="F63" s="147"/>
      <c r="G63" s="147"/>
      <c r="H63" s="147"/>
      <c r="I63" s="147"/>
      <c r="J63" s="148"/>
      <c r="K63" s="148"/>
      <c r="L63" s="148"/>
      <c r="M63" s="128"/>
      <c r="N63" s="51" t="s">
        <v>14</v>
      </c>
      <c r="O63" s="25">
        <v>-2288.542762303</v>
      </c>
      <c r="P63" s="25">
        <v>-2287.8958423029999</v>
      </c>
      <c r="Q63" s="25"/>
    </row>
    <row r="64" spans="1:19" x14ac:dyDescent="0.15">
      <c r="A64" s="14" t="str">
        <f t="shared" ref="A64:F64" si="9">A4</f>
        <v>MBD</v>
      </c>
      <c r="B64" s="15" t="str">
        <f t="shared" si="9"/>
        <v>PBE</v>
      </c>
      <c r="C64" s="16" t="str">
        <f t="shared" si="9"/>
        <v>TS</v>
      </c>
      <c r="D64" s="129" t="str">
        <f t="shared" si="9"/>
        <v>MBD</v>
      </c>
      <c r="E64" s="130" t="str">
        <f t="shared" si="9"/>
        <v>PBE</v>
      </c>
      <c r="F64" s="66" t="str">
        <f t="shared" si="9"/>
        <v>TS</v>
      </c>
      <c r="G64" s="149" t="s">
        <v>5</v>
      </c>
      <c r="H64" s="130" t="s">
        <v>6</v>
      </c>
      <c r="I64" s="66" t="s">
        <v>7</v>
      </c>
      <c r="J64" s="149" t="s">
        <v>5</v>
      </c>
      <c r="K64" s="130" t="s">
        <v>6</v>
      </c>
      <c r="L64" s="67" t="s">
        <v>7</v>
      </c>
      <c r="M64" s="68">
        <f>B70-2*1.68514</f>
        <v>-2.751009106111578</v>
      </c>
      <c r="N64" s="52" t="s">
        <v>71</v>
      </c>
      <c r="O64" s="25">
        <f>O63-P62-2*O61</f>
        <v>-2.2913567080000803</v>
      </c>
      <c r="P64" s="25"/>
      <c r="Q64" s="25">
        <f>O63-Q62-2*O61</f>
        <v>-1.9768517080000265</v>
      </c>
    </row>
    <row r="65" spans="1:21" x14ac:dyDescent="0.15">
      <c r="A65" s="131">
        <f>A5</f>
        <v>-0.23084000499999999</v>
      </c>
      <c r="B65" s="132">
        <f>B5</f>
        <v>-568161.34678290901</v>
      </c>
      <c r="C65" s="133">
        <f>C5</f>
        <v>-0.16990864924999999</v>
      </c>
      <c r="D65" s="129"/>
      <c r="E65" s="130"/>
      <c r="F65" s="66"/>
      <c r="G65" s="149"/>
      <c r="H65" s="130"/>
      <c r="I65" s="66"/>
      <c r="J65" s="149"/>
      <c r="K65" s="130"/>
      <c r="L65" s="67"/>
      <c r="M65" s="68"/>
      <c r="N65" s="51" t="s">
        <v>11</v>
      </c>
      <c r="O65" s="25">
        <v>-521.05269188600005</v>
      </c>
      <c r="P65" s="25"/>
      <c r="Q65" s="25"/>
    </row>
    <row r="66" spans="1:21" x14ac:dyDescent="0.15">
      <c r="A66" s="131"/>
      <c r="B66" s="132"/>
      <c r="C66" s="133"/>
      <c r="D66" s="129"/>
      <c r="E66" s="130"/>
      <c r="F66" s="66"/>
      <c r="G66" s="149"/>
      <c r="H66" s="130"/>
      <c r="I66" s="66"/>
      <c r="J66" s="149"/>
      <c r="K66" s="130"/>
      <c r="L66" s="67"/>
      <c r="M66" s="68"/>
      <c r="N66" s="51" t="s">
        <v>12</v>
      </c>
      <c r="O66" s="25"/>
      <c r="P66" s="25"/>
      <c r="Q66" s="25"/>
    </row>
    <row r="67" spans="1:21" x14ac:dyDescent="0.15">
      <c r="A67" s="45" t="str">
        <f t="shared" ref="A67:F67" si="10">A7</f>
        <v>MBD</v>
      </c>
      <c r="B67" s="18" t="str">
        <f t="shared" si="10"/>
        <v>PBE</v>
      </c>
      <c r="C67" s="19" t="str">
        <f t="shared" si="10"/>
        <v>TS</v>
      </c>
      <c r="D67" s="139">
        <f t="shared" si="10"/>
        <v>-0.42958807249999997</v>
      </c>
      <c r="E67" s="140">
        <f t="shared" si="10"/>
        <v>-568159.27279550501</v>
      </c>
      <c r="F67" s="151">
        <f t="shared" si="10"/>
        <v>-0.29545744750000003</v>
      </c>
      <c r="G67" s="144">
        <f>-8.62440868</f>
        <v>-8.6244086800000002</v>
      </c>
      <c r="H67" s="145">
        <f>-8645455.90176258+8.62440868</f>
        <v>-8645447.2773539014</v>
      </c>
      <c r="I67" s="152">
        <f>-8.640993906</f>
        <v>-8.6409939060000003</v>
      </c>
      <c r="J67" s="144">
        <f>J52</f>
        <v>-8.9407424599999992</v>
      </c>
      <c r="K67" s="145">
        <f>K52</f>
        <v>-9213597.5541339293</v>
      </c>
      <c r="L67" s="146">
        <f>L52</f>
        <v>-8.8183975179999994</v>
      </c>
      <c r="M67" s="68">
        <f>H70-2*1.68514</f>
        <v>-2.8365028811115769</v>
      </c>
      <c r="N67" s="51" t="s">
        <v>15</v>
      </c>
      <c r="O67" s="25">
        <v>-837.77903000900005</v>
      </c>
      <c r="P67" s="25"/>
      <c r="Q67" s="25"/>
    </row>
    <row r="68" spans="1:21" x14ac:dyDescent="0.15">
      <c r="A68" s="134">
        <f>A8</f>
        <v>-0.42958807249999997</v>
      </c>
      <c r="B68" s="135">
        <f>B8</f>
        <v>-568159.27279550501</v>
      </c>
      <c r="C68" s="136">
        <f>C8</f>
        <v>-0.29545744750000003</v>
      </c>
      <c r="D68" s="139"/>
      <c r="E68" s="140"/>
      <c r="F68" s="151"/>
      <c r="G68" s="144"/>
      <c r="H68" s="145"/>
      <c r="I68" s="152"/>
      <c r="J68" s="144"/>
      <c r="K68" s="145"/>
      <c r="L68" s="146"/>
      <c r="M68" s="68"/>
      <c r="N68" s="52" t="s">
        <v>39</v>
      </c>
      <c r="O68" s="25"/>
      <c r="P68" s="25"/>
      <c r="Q68" s="25"/>
    </row>
    <row r="69" spans="1:21" x14ac:dyDescent="0.15">
      <c r="A69" s="134"/>
      <c r="B69" s="135"/>
      <c r="C69" s="136"/>
      <c r="D69" s="139"/>
      <c r="E69" s="140"/>
      <c r="F69" s="151"/>
      <c r="G69" s="144"/>
      <c r="H69" s="145"/>
      <c r="I69" s="152"/>
      <c r="J69" s="144"/>
      <c r="K69" s="145"/>
      <c r="L69" s="146"/>
      <c r="M69" s="68"/>
    </row>
    <row r="70" spans="1:21" ht="14.25" customHeight="1" x14ac:dyDescent="0.15">
      <c r="A70" s="75" t="s">
        <v>18</v>
      </c>
      <c r="B70" s="88">
        <f>E70+H70</f>
        <v>0.61927089388842227</v>
      </c>
      <c r="C70" s="88"/>
      <c r="D70" s="121" t="s">
        <v>19</v>
      </c>
      <c r="E70" s="122">
        <f>G67-J67+A65</f>
        <v>8.5493774999999023E-2</v>
      </c>
      <c r="F70" s="122"/>
      <c r="G70" s="124" t="s">
        <v>20</v>
      </c>
      <c r="H70" s="150">
        <f>H67-K67+B65+(-2)*(-5.80189)</f>
        <v>0.53377711888842327</v>
      </c>
      <c r="I70" s="150"/>
      <c r="J70" s="124" t="s">
        <v>21</v>
      </c>
      <c r="K70" s="125">
        <f>I67-L67+C65+H70</f>
        <v>0.54127208163842244</v>
      </c>
      <c r="L70" s="125"/>
      <c r="M70" s="80">
        <f>K70-2*1.68514</f>
        <v>-2.8290079183615777</v>
      </c>
    </row>
    <row r="71" spans="1:21" ht="13.5" customHeight="1" x14ac:dyDescent="0.15">
      <c r="A71" s="75"/>
      <c r="B71" s="88"/>
      <c r="C71" s="88"/>
      <c r="D71" s="121"/>
      <c r="E71" s="121"/>
      <c r="F71" s="122"/>
      <c r="G71" s="124"/>
      <c r="H71" s="150"/>
      <c r="I71" s="150"/>
      <c r="J71" s="124"/>
      <c r="K71" s="125"/>
      <c r="L71" s="125"/>
      <c r="M71" s="80"/>
      <c r="N71" s="153" t="s">
        <v>78</v>
      </c>
      <c r="O71" s="153" t="s">
        <v>79</v>
      </c>
      <c r="P71" s="154" t="s">
        <v>80</v>
      </c>
      <c r="Q71" s="155"/>
      <c r="R71" s="153" t="s">
        <v>79</v>
      </c>
      <c r="S71" s="153" t="s">
        <v>80</v>
      </c>
      <c r="T71" s="156" t="s">
        <v>81</v>
      </c>
      <c r="U71" s="156" t="s">
        <v>82</v>
      </c>
    </row>
    <row r="72" spans="1:21" x14ac:dyDescent="0.15">
      <c r="A72" s="75"/>
      <c r="B72" s="88"/>
      <c r="C72" s="88"/>
      <c r="D72" s="121"/>
      <c r="E72" s="121"/>
      <c r="F72" s="122"/>
      <c r="G72" s="124"/>
      <c r="H72" s="150"/>
      <c r="I72" s="150"/>
      <c r="J72" s="124"/>
      <c r="K72" s="125"/>
      <c r="L72" s="125"/>
      <c r="M72" s="80"/>
      <c r="N72" s="153"/>
      <c r="O72" s="153"/>
      <c r="P72" s="154"/>
      <c r="Q72" s="154"/>
      <c r="R72" s="153"/>
      <c r="S72" s="153"/>
      <c r="T72" s="156"/>
      <c r="U72" s="156"/>
    </row>
    <row r="73" spans="1:21" ht="13.5" customHeight="1" x14ac:dyDescent="0.15">
      <c r="A73" s="97" t="s">
        <v>25</v>
      </c>
      <c r="B73" s="98">
        <f>E73+H73</f>
        <v>2.4945102303893676</v>
      </c>
      <c r="C73" s="98"/>
      <c r="D73" s="77" t="s">
        <v>26</v>
      </c>
      <c r="E73" s="76">
        <f>G67-J67+D67</f>
        <v>-0.11325429250000096</v>
      </c>
      <c r="F73" s="76"/>
      <c r="G73" s="89" t="s">
        <v>27</v>
      </c>
      <c r="H73" s="88">
        <f>H67-K67+E67+(-2)*(-5.80189)</f>
        <v>2.6077645228893687</v>
      </c>
      <c r="I73" s="88"/>
      <c r="J73" s="78" t="s">
        <v>28</v>
      </c>
      <c r="K73" s="79">
        <f>I67-L67+F67+H73</f>
        <v>2.4897106873893677</v>
      </c>
      <c r="L73" s="79"/>
      <c r="M73" s="80">
        <f>K73-2*1.68514</f>
        <v>-0.88056931261063243</v>
      </c>
      <c r="N73" s="153"/>
      <c r="O73" s="153"/>
      <c r="P73" s="154"/>
      <c r="Q73" s="155"/>
      <c r="R73" s="153"/>
      <c r="S73" s="153"/>
      <c r="T73" s="156"/>
      <c r="U73" s="156"/>
    </row>
    <row r="74" spans="1:21" x14ac:dyDescent="0.15">
      <c r="A74" s="97"/>
      <c r="B74" s="98"/>
      <c r="C74" s="98"/>
      <c r="D74" s="77"/>
      <c r="E74" s="77"/>
      <c r="F74" s="76"/>
      <c r="G74" s="89"/>
      <c r="H74" s="88"/>
      <c r="I74" s="88"/>
      <c r="J74" s="78"/>
      <c r="K74" s="79"/>
      <c r="L74" s="79"/>
      <c r="M74" s="80"/>
      <c r="N74" s="157" t="s">
        <v>83</v>
      </c>
      <c r="O74" s="158">
        <f>H13</f>
        <v>2.8622716239924353</v>
      </c>
      <c r="P74" s="93">
        <f>H10</f>
        <v>0.7882842199914899</v>
      </c>
      <c r="Q74" s="159">
        <f>P74-O74</f>
        <v>-2.0739874040009454</v>
      </c>
      <c r="R74" s="160">
        <v>2.69</v>
      </c>
      <c r="S74" s="161">
        <v>0.47</v>
      </c>
      <c r="T74" s="162">
        <f>O74-R74</f>
        <v>0.17227162399243534</v>
      </c>
      <c r="U74" s="162">
        <f>P74-S74</f>
        <v>0.31828421999148993</v>
      </c>
    </row>
    <row r="75" spans="1:21" x14ac:dyDescent="0.15">
      <c r="A75" s="97"/>
      <c r="B75" s="98"/>
      <c r="C75" s="98"/>
      <c r="D75" s="77"/>
      <c r="E75" s="77"/>
      <c r="F75" s="76"/>
      <c r="G75" s="89"/>
      <c r="H75" s="88"/>
      <c r="I75" s="88"/>
      <c r="J75" s="78"/>
      <c r="K75" s="79"/>
      <c r="L75" s="79"/>
      <c r="M75" s="80"/>
      <c r="N75" s="157"/>
      <c r="O75" s="158"/>
      <c r="P75" s="93"/>
      <c r="Q75" s="159"/>
      <c r="R75" s="160"/>
      <c r="S75" s="161"/>
      <c r="T75" s="162"/>
      <c r="U75" s="162"/>
    </row>
    <row r="76" spans="1:21" ht="13.5" customHeight="1" x14ac:dyDescent="0.15">
      <c r="A76" s="163" t="s">
        <v>32</v>
      </c>
      <c r="B76" s="163"/>
      <c r="C76" s="163"/>
      <c r="D76" s="147" t="s">
        <v>33</v>
      </c>
      <c r="E76" s="147"/>
      <c r="F76" s="147"/>
      <c r="G76" s="147" t="s">
        <v>84</v>
      </c>
      <c r="H76" s="147"/>
      <c r="I76" s="147"/>
      <c r="J76" s="148" t="s">
        <v>3</v>
      </c>
      <c r="K76" s="148"/>
      <c r="L76" s="148"/>
      <c r="M76" s="128" t="s">
        <v>122</v>
      </c>
      <c r="N76" s="157"/>
      <c r="O76" s="158"/>
      <c r="P76" s="93"/>
      <c r="Q76" s="159"/>
      <c r="R76" s="160"/>
      <c r="S76" s="161"/>
      <c r="T76" s="162"/>
      <c r="U76" s="162"/>
    </row>
    <row r="77" spans="1:21" x14ac:dyDescent="0.15">
      <c r="A77" s="163"/>
      <c r="B77" s="163"/>
      <c r="C77" s="163"/>
      <c r="D77" s="147"/>
      <c r="E77" s="147"/>
      <c r="F77" s="147"/>
      <c r="G77" s="147"/>
      <c r="H77" s="147"/>
      <c r="I77" s="147"/>
      <c r="J77" s="148"/>
      <c r="K77" s="148"/>
      <c r="L77" s="148"/>
      <c r="M77" s="128"/>
      <c r="N77" s="157" t="s">
        <v>85</v>
      </c>
      <c r="O77" s="161">
        <f>H25</f>
        <v>4.7475555225602637</v>
      </c>
      <c r="P77" s="93">
        <f>H28</f>
        <v>5.7845492245607364</v>
      </c>
      <c r="Q77" s="159">
        <f>O77-P77</f>
        <v>-1.0369937020004727</v>
      </c>
      <c r="R77" s="160">
        <v>0.87</v>
      </c>
      <c r="S77" s="161">
        <v>2.04</v>
      </c>
      <c r="T77" s="162">
        <f>O77-R77</f>
        <v>3.8775555225602636</v>
      </c>
      <c r="U77" s="162">
        <f>P77-S77</f>
        <v>3.7445492245607364</v>
      </c>
    </row>
    <row r="78" spans="1:21" x14ac:dyDescent="0.15">
      <c r="A78" s="163"/>
      <c r="B78" s="163"/>
      <c r="C78" s="163"/>
      <c r="D78" s="147"/>
      <c r="E78" s="147"/>
      <c r="F78" s="147"/>
      <c r="G78" s="147"/>
      <c r="H78" s="147"/>
      <c r="I78" s="147"/>
      <c r="J78" s="148"/>
      <c r="K78" s="148"/>
      <c r="L78" s="148"/>
      <c r="M78" s="128"/>
      <c r="N78" s="157"/>
      <c r="O78" s="157"/>
      <c r="P78" s="157"/>
      <c r="Q78" s="159"/>
      <c r="R78" s="160"/>
      <c r="S78" s="161"/>
      <c r="T78" s="162"/>
      <c r="U78" s="162"/>
    </row>
    <row r="79" spans="1:21" x14ac:dyDescent="0.15">
      <c r="A79" s="14" t="s">
        <v>5</v>
      </c>
      <c r="B79" s="15" t="s">
        <v>6</v>
      </c>
      <c r="C79" s="16" t="s">
        <v>7</v>
      </c>
      <c r="D79" s="164" t="s">
        <v>5</v>
      </c>
      <c r="E79" s="116" t="s">
        <v>6</v>
      </c>
      <c r="F79" s="74" t="s">
        <v>7</v>
      </c>
      <c r="G79" s="164" t="s">
        <v>5</v>
      </c>
      <c r="H79" s="116" t="s">
        <v>6</v>
      </c>
      <c r="I79" s="74" t="s">
        <v>7</v>
      </c>
      <c r="J79" s="164" t="s">
        <v>5</v>
      </c>
      <c r="K79" s="116" t="s">
        <v>6</v>
      </c>
      <c r="L79" s="92" t="s">
        <v>7</v>
      </c>
      <c r="M79" s="68">
        <f>B85-1.68514</f>
        <v>1.2436528561527056</v>
      </c>
      <c r="N79" s="157"/>
      <c r="O79" s="157"/>
      <c r="P79" s="93"/>
      <c r="Q79" s="159"/>
      <c r="R79" s="160"/>
      <c r="S79" s="161"/>
      <c r="T79" s="162"/>
      <c r="U79" s="162"/>
    </row>
    <row r="80" spans="1:21" x14ac:dyDescent="0.15">
      <c r="A80" s="69">
        <f>A20</f>
        <v>-9.5804887500000005E-2</v>
      </c>
      <c r="B80" s="70">
        <f>B20</f>
        <v>-193638.79063727599</v>
      </c>
      <c r="C80" s="71">
        <f>C20</f>
        <v>-0.14826496087499999</v>
      </c>
      <c r="D80" s="164"/>
      <c r="E80" s="116"/>
      <c r="F80" s="74"/>
      <c r="G80" s="164"/>
      <c r="H80" s="116"/>
      <c r="I80" s="74"/>
      <c r="J80" s="164"/>
      <c r="K80" s="116"/>
      <c r="L80" s="92"/>
      <c r="M80" s="68"/>
      <c r="N80" s="157" t="s">
        <v>86</v>
      </c>
      <c r="O80" s="161">
        <f>H25</f>
        <v>4.7475555225602637</v>
      </c>
      <c r="P80" s="165">
        <f>H28</f>
        <v>5.7845492245607364</v>
      </c>
      <c r="Q80" s="159">
        <f>O80-P80</f>
        <v>-1.0369937020004727</v>
      </c>
      <c r="R80" s="160">
        <v>0.85</v>
      </c>
      <c r="S80" s="161">
        <v>2.0499999999999998</v>
      </c>
      <c r="T80" s="162">
        <f>O80-R80</f>
        <v>3.8975555225602636</v>
      </c>
      <c r="U80" s="162">
        <f>P80-S80</f>
        <v>3.7345492245607366</v>
      </c>
    </row>
    <row r="81" spans="1:21" x14ac:dyDescent="0.15">
      <c r="A81" s="69"/>
      <c r="B81" s="70"/>
      <c r="C81" s="71"/>
      <c r="D81" s="164"/>
      <c r="E81" s="116"/>
      <c r="F81" s="74"/>
      <c r="G81" s="164"/>
      <c r="H81" s="116"/>
      <c r="I81" s="74"/>
      <c r="J81" s="164"/>
      <c r="K81" s="116"/>
      <c r="L81" s="92"/>
      <c r="M81" s="68"/>
      <c r="N81" s="157"/>
      <c r="O81" s="161"/>
      <c r="P81" s="161"/>
      <c r="Q81" s="159"/>
      <c r="R81" s="160"/>
      <c r="S81" s="161"/>
      <c r="T81" s="162"/>
      <c r="U81" s="162"/>
    </row>
    <row r="82" spans="1:21" x14ac:dyDescent="0.15">
      <c r="A82" s="17" t="s">
        <v>5</v>
      </c>
      <c r="B82" s="18" t="s">
        <v>6</v>
      </c>
      <c r="C82" s="19" t="s">
        <v>7</v>
      </c>
      <c r="D82" s="166">
        <f>D22</f>
        <v>-0.19517892125</v>
      </c>
      <c r="E82" s="83">
        <f>E22</f>
        <v>-193637.75364357399</v>
      </c>
      <c r="F82" s="83">
        <f>F22</f>
        <v>-0.21103936000000001</v>
      </c>
      <c r="G82" s="166">
        <f>-8.64351673</f>
        <v>-8.64351673</v>
      </c>
      <c r="H82" s="83">
        <f>-9019970.58913137+8.64351673</f>
        <v>-9019961.9456146397</v>
      </c>
      <c r="I82" s="83">
        <f>-8.581562461</f>
        <v>-8.5815624610000008</v>
      </c>
      <c r="J82" s="117">
        <f>J67</f>
        <v>-8.9407424599999992</v>
      </c>
      <c r="K82" s="118">
        <f>K67</f>
        <v>-9213597.5541339293</v>
      </c>
      <c r="L82" s="85">
        <f>L67</f>
        <v>-8.8183975179999994</v>
      </c>
      <c r="M82" s="68">
        <f>H85-1.68514</f>
        <v>1.0422320136527063</v>
      </c>
      <c r="N82" s="157"/>
      <c r="O82" s="161"/>
      <c r="P82" s="161"/>
      <c r="Q82" s="159"/>
      <c r="R82" s="160"/>
      <c r="S82" s="161"/>
      <c r="T82" s="162"/>
      <c r="U82" s="162"/>
    </row>
    <row r="83" spans="1:21" x14ac:dyDescent="0.15">
      <c r="A83" s="81">
        <f>A23</f>
        <v>-0.19517892125</v>
      </c>
      <c r="B83" s="82">
        <f>B23</f>
        <v>-193637.75364357399</v>
      </c>
      <c r="C83" s="83">
        <f>C23</f>
        <v>-0.21103936000000001</v>
      </c>
      <c r="D83" s="166"/>
      <c r="E83" s="83"/>
      <c r="F83" s="83"/>
      <c r="G83" s="166"/>
      <c r="H83" s="83"/>
      <c r="I83" s="83"/>
      <c r="J83" s="117"/>
      <c r="K83" s="118"/>
      <c r="L83" s="85"/>
      <c r="M83" s="68"/>
      <c r="N83" s="157" t="s">
        <v>87</v>
      </c>
      <c r="O83" s="161">
        <f>H43</f>
        <v>1.5589293617620381</v>
      </c>
      <c r="P83" s="161">
        <f>H40</f>
        <v>0.52193565970199352</v>
      </c>
      <c r="Q83" s="159">
        <f>P83-O83</f>
        <v>-1.0369937020600446</v>
      </c>
      <c r="R83" s="160">
        <v>1.91</v>
      </c>
      <c r="S83" s="161">
        <v>0.62</v>
      </c>
      <c r="T83" s="162">
        <f>O83-R83</f>
        <v>-0.35107063823796181</v>
      </c>
      <c r="U83" s="162">
        <f>P83-S83</f>
        <v>-9.806434029800648E-2</v>
      </c>
    </row>
    <row r="84" spans="1:21" x14ac:dyDescent="0.15">
      <c r="A84" s="81"/>
      <c r="B84" s="82"/>
      <c r="C84" s="83"/>
      <c r="D84" s="166"/>
      <c r="E84" s="83"/>
      <c r="F84" s="83"/>
      <c r="G84" s="166"/>
      <c r="H84" s="83"/>
      <c r="I84" s="83"/>
      <c r="J84" s="117"/>
      <c r="K84" s="118"/>
      <c r="L84" s="85"/>
      <c r="M84" s="68"/>
      <c r="N84" s="157"/>
      <c r="O84" s="161"/>
      <c r="P84" s="161"/>
      <c r="Q84" s="159"/>
      <c r="R84" s="160"/>
      <c r="S84" s="161"/>
      <c r="T84" s="162"/>
      <c r="U84" s="162"/>
    </row>
    <row r="85" spans="1:21" ht="13.5" customHeight="1" x14ac:dyDescent="0.15">
      <c r="A85" s="75" t="s">
        <v>44</v>
      </c>
      <c r="B85" s="88">
        <f>E85+H85</f>
        <v>2.9287928561527057</v>
      </c>
      <c r="C85" s="88"/>
      <c r="D85" s="77" t="s">
        <v>45</v>
      </c>
      <c r="E85" s="76">
        <f>G82-J82+A80</f>
        <v>0.2014208424999992</v>
      </c>
      <c r="F85" s="76"/>
      <c r="G85" s="78" t="s">
        <v>46</v>
      </c>
      <c r="H85" s="88">
        <f>H82-K82+B80+(-1)*(-5.90949)</f>
        <v>2.7273720136527064</v>
      </c>
      <c r="I85" s="88"/>
      <c r="J85" s="78" t="s">
        <v>47</v>
      </c>
      <c r="K85" s="79">
        <f>I82-L82+C80+H85</f>
        <v>2.8159421097777049</v>
      </c>
      <c r="L85" s="79"/>
      <c r="M85" s="80">
        <f>K85-1.68514</f>
        <v>1.1308021097777048</v>
      </c>
      <c r="N85" s="157"/>
      <c r="O85" s="161"/>
      <c r="P85" s="161"/>
      <c r="Q85" s="159"/>
      <c r="R85" s="160"/>
      <c r="S85" s="161"/>
      <c r="T85" s="162"/>
      <c r="U85" s="162"/>
    </row>
    <row r="86" spans="1:21" x14ac:dyDescent="0.15">
      <c r="A86" s="75"/>
      <c r="B86" s="88"/>
      <c r="C86" s="88"/>
      <c r="D86" s="77"/>
      <c r="E86" s="77"/>
      <c r="F86" s="76"/>
      <c r="G86" s="78"/>
      <c r="H86" s="88"/>
      <c r="I86" s="88"/>
      <c r="J86" s="78"/>
      <c r="K86" s="79"/>
      <c r="L86" s="79"/>
      <c r="M86" s="80"/>
      <c r="N86" s="157" t="s">
        <v>88</v>
      </c>
      <c r="O86" s="161"/>
      <c r="P86" s="93"/>
      <c r="Q86" s="159"/>
      <c r="R86" s="160">
        <v>1.1200000000000001</v>
      </c>
      <c r="S86" s="93">
        <v>2.4300000000000002</v>
      </c>
      <c r="T86" s="167"/>
      <c r="U86" s="167"/>
    </row>
    <row r="87" spans="1:21" x14ac:dyDescent="0.15">
      <c r="A87" s="75"/>
      <c r="B87" s="88"/>
      <c r="C87" s="88"/>
      <c r="D87" s="77"/>
      <c r="E87" s="77"/>
      <c r="F87" s="76"/>
      <c r="G87" s="78"/>
      <c r="H87" s="88"/>
      <c r="I87" s="88"/>
      <c r="J87" s="78"/>
      <c r="K87" s="79"/>
      <c r="L87" s="79"/>
      <c r="M87" s="80"/>
      <c r="N87" s="157"/>
      <c r="O87" s="161"/>
      <c r="P87" s="161"/>
      <c r="Q87" s="159"/>
      <c r="R87" s="160"/>
      <c r="S87" s="93"/>
      <c r="T87" s="167"/>
      <c r="U87" s="167"/>
    </row>
    <row r="88" spans="1:21" ht="13.5" customHeight="1" x14ac:dyDescent="0.15">
      <c r="A88" s="97" t="s">
        <v>50</v>
      </c>
      <c r="B88" s="98">
        <f>E88+H88</f>
        <v>3.8664125244031782</v>
      </c>
      <c r="C88" s="98"/>
      <c r="D88" s="99" t="s">
        <v>51</v>
      </c>
      <c r="E88" s="113">
        <f>G82-J82+D82</f>
        <v>0.10204680874999919</v>
      </c>
      <c r="F88" s="113"/>
      <c r="G88" s="101" t="s">
        <v>52</v>
      </c>
      <c r="H88" s="100">
        <f>H82-K82+E82+(-1)*(-5.90949)</f>
        <v>3.7643657156531791</v>
      </c>
      <c r="I88" s="100"/>
      <c r="J88" s="102" t="s">
        <v>53</v>
      </c>
      <c r="K88" s="114">
        <f>I82-L82+F82+H88</f>
        <v>3.7901614126531777</v>
      </c>
      <c r="L88" s="114"/>
      <c r="M88" s="80">
        <f>K88-1.68514</f>
        <v>2.1050214126531777</v>
      </c>
      <c r="N88" s="157"/>
      <c r="O88" s="161"/>
      <c r="P88" s="93"/>
      <c r="Q88" s="159"/>
      <c r="R88" s="160"/>
      <c r="S88" s="93"/>
      <c r="T88" s="167"/>
      <c r="U88" s="167"/>
    </row>
    <row r="89" spans="1:21" x14ac:dyDescent="0.15">
      <c r="A89" s="97"/>
      <c r="B89" s="98"/>
      <c r="C89" s="98"/>
      <c r="D89" s="99"/>
      <c r="E89" s="99"/>
      <c r="F89" s="113"/>
      <c r="G89" s="101"/>
      <c r="H89" s="100"/>
      <c r="I89" s="100"/>
      <c r="J89" s="102"/>
      <c r="K89" s="114"/>
      <c r="L89" s="114"/>
      <c r="M89" s="80"/>
      <c r="N89" s="157" t="s">
        <v>89</v>
      </c>
      <c r="O89" s="168"/>
      <c r="P89" s="168"/>
      <c r="Q89" s="159"/>
      <c r="R89" s="160">
        <v>1.05</v>
      </c>
      <c r="S89" s="161">
        <v>3.27</v>
      </c>
      <c r="T89" s="167"/>
      <c r="U89" s="167"/>
    </row>
    <row r="90" spans="1:21" x14ac:dyDescent="0.15">
      <c r="A90" s="97"/>
      <c r="B90" s="98"/>
      <c r="C90" s="98"/>
      <c r="D90" s="99"/>
      <c r="E90" s="99"/>
      <c r="F90" s="113"/>
      <c r="G90" s="101"/>
      <c r="H90" s="100"/>
      <c r="I90" s="100"/>
      <c r="J90" s="102"/>
      <c r="K90" s="114"/>
      <c r="L90" s="114"/>
      <c r="M90" s="80"/>
      <c r="N90" s="157"/>
      <c r="O90" s="168"/>
      <c r="P90" s="168"/>
      <c r="Q90" s="159"/>
      <c r="R90" s="160"/>
      <c r="S90" s="161"/>
      <c r="T90" s="167"/>
      <c r="U90" s="167"/>
    </row>
    <row r="91" spans="1:21" ht="13.5" customHeight="1" x14ac:dyDescent="0.15">
      <c r="A91" s="163" t="s">
        <v>32</v>
      </c>
      <c r="B91" s="163"/>
      <c r="C91" s="163"/>
      <c r="D91" s="147" t="s">
        <v>33</v>
      </c>
      <c r="E91" s="147"/>
      <c r="F91" s="147"/>
      <c r="G91" s="147" t="s">
        <v>90</v>
      </c>
      <c r="H91" s="147"/>
      <c r="I91" s="147"/>
      <c r="J91" s="148" t="s">
        <v>3</v>
      </c>
      <c r="K91" s="148"/>
      <c r="L91" s="148"/>
      <c r="M91" s="128" t="s">
        <v>122</v>
      </c>
      <c r="N91" s="157"/>
      <c r="O91" s="168"/>
      <c r="P91" s="168"/>
      <c r="Q91" s="159"/>
      <c r="R91" s="160"/>
      <c r="S91" s="161"/>
      <c r="T91" s="167"/>
      <c r="U91" s="167"/>
    </row>
    <row r="92" spans="1:21" ht="13.5" customHeight="1" x14ac:dyDescent="0.15">
      <c r="A92" s="163"/>
      <c r="B92" s="163"/>
      <c r="C92" s="163"/>
      <c r="D92" s="147"/>
      <c r="E92" s="147"/>
      <c r="F92" s="147"/>
      <c r="G92" s="147"/>
      <c r="H92" s="147"/>
      <c r="I92" s="147"/>
      <c r="J92" s="148"/>
      <c r="K92" s="148"/>
      <c r="L92" s="148"/>
      <c r="M92" s="128"/>
      <c r="N92" s="157" t="s">
        <v>91</v>
      </c>
      <c r="O92" s="168"/>
      <c r="P92" s="169"/>
      <c r="Q92" s="159"/>
      <c r="R92" s="160">
        <v>1.75</v>
      </c>
      <c r="S92" s="165">
        <v>0.56999999999999995</v>
      </c>
      <c r="T92" s="167"/>
      <c r="U92" s="167"/>
    </row>
    <row r="93" spans="1:21" ht="14.25" customHeight="1" x14ac:dyDescent="0.15">
      <c r="A93" s="163"/>
      <c r="B93" s="163"/>
      <c r="C93" s="163"/>
      <c r="D93" s="147"/>
      <c r="E93" s="147"/>
      <c r="F93" s="147"/>
      <c r="G93" s="147"/>
      <c r="H93" s="147"/>
      <c r="I93" s="147"/>
      <c r="J93" s="148"/>
      <c r="K93" s="148"/>
      <c r="L93" s="148"/>
      <c r="M93" s="128"/>
      <c r="N93" s="157"/>
      <c r="O93" s="168"/>
      <c r="P93" s="168"/>
      <c r="Q93" s="159"/>
      <c r="R93" s="160"/>
      <c r="S93" s="165"/>
      <c r="T93" s="167"/>
      <c r="U93" s="167"/>
    </row>
    <row r="94" spans="1:21" x14ac:dyDescent="0.15">
      <c r="A94" s="14" t="str">
        <f t="shared" ref="A94:C95" si="11">A79</f>
        <v>MBD</v>
      </c>
      <c r="B94" s="15" t="str">
        <f t="shared" si="11"/>
        <v>PBE</v>
      </c>
      <c r="C94" s="16" t="str">
        <f t="shared" si="11"/>
        <v>TS</v>
      </c>
      <c r="D94" s="164" t="s">
        <v>5</v>
      </c>
      <c r="E94" s="116" t="str">
        <f t="shared" ref="E94:L94" si="12">E79</f>
        <v>PBE</v>
      </c>
      <c r="F94" s="74" t="str">
        <f t="shared" si="12"/>
        <v>TS</v>
      </c>
      <c r="G94" s="115" t="str">
        <f t="shared" si="12"/>
        <v>MBD</v>
      </c>
      <c r="H94" s="116" t="str">
        <f t="shared" si="12"/>
        <v>PBE</v>
      </c>
      <c r="I94" s="74" t="str">
        <f t="shared" si="12"/>
        <v>TS</v>
      </c>
      <c r="J94" s="115" t="str">
        <f t="shared" si="12"/>
        <v>MBD</v>
      </c>
      <c r="K94" s="116" t="str">
        <f t="shared" si="12"/>
        <v>PBE</v>
      </c>
      <c r="L94" s="92" t="str">
        <f t="shared" si="12"/>
        <v>TS</v>
      </c>
      <c r="M94" s="68">
        <f>B100+2*1.68514</f>
        <v>3.1301221545664211</v>
      </c>
      <c r="N94" s="157"/>
      <c r="O94" s="168"/>
      <c r="P94" s="168"/>
      <c r="Q94" s="159"/>
      <c r="R94" s="160"/>
      <c r="S94" s="165"/>
      <c r="T94" s="167"/>
      <c r="U94" s="167"/>
    </row>
    <row r="95" spans="1:21" x14ac:dyDescent="0.15">
      <c r="A95" s="131">
        <f t="shared" si="11"/>
        <v>-9.5804887500000005E-2</v>
      </c>
      <c r="B95" s="132">
        <f t="shared" si="11"/>
        <v>-193638.79063727599</v>
      </c>
      <c r="C95" s="133">
        <f t="shared" si="11"/>
        <v>-0.14826496087499999</v>
      </c>
      <c r="D95" s="164"/>
      <c r="E95" s="116"/>
      <c r="F95" s="74"/>
      <c r="G95" s="115"/>
      <c r="H95" s="116"/>
      <c r="I95" s="74"/>
      <c r="J95" s="115"/>
      <c r="K95" s="116"/>
      <c r="L95" s="92"/>
      <c r="M95" s="68"/>
      <c r="N95" s="170" t="s">
        <v>92</v>
      </c>
      <c r="O95" s="161"/>
      <c r="P95" s="93"/>
      <c r="Q95" s="159"/>
      <c r="R95" s="160" t="s">
        <v>93</v>
      </c>
      <c r="S95" s="93" t="s">
        <v>94</v>
      </c>
      <c r="T95" s="167"/>
      <c r="U95" s="167"/>
    </row>
    <row r="96" spans="1:21" x14ac:dyDescent="0.15">
      <c r="A96" s="131"/>
      <c r="B96" s="132"/>
      <c r="C96" s="133"/>
      <c r="D96" s="164"/>
      <c r="E96" s="116"/>
      <c r="F96" s="74"/>
      <c r="G96" s="115"/>
      <c r="H96" s="116"/>
      <c r="I96" s="74"/>
      <c r="J96" s="115"/>
      <c r="K96" s="116"/>
      <c r="L96" s="92"/>
      <c r="M96" s="68"/>
      <c r="N96" s="170"/>
      <c r="O96" s="161"/>
      <c r="P96" s="161"/>
      <c r="Q96" s="159"/>
      <c r="R96" s="160"/>
      <c r="S96" s="93"/>
      <c r="T96" s="167"/>
      <c r="U96" s="167"/>
    </row>
    <row r="97" spans="1:21" x14ac:dyDescent="0.15">
      <c r="A97" s="45" t="str">
        <f t="shared" ref="A97:F97" si="13">A82</f>
        <v>MBD</v>
      </c>
      <c r="B97" s="18" t="str">
        <f t="shared" si="13"/>
        <v>PBE</v>
      </c>
      <c r="C97" s="19" t="str">
        <f t="shared" si="13"/>
        <v>TS</v>
      </c>
      <c r="D97" s="166">
        <f t="shared" si="13"/>
        <v>-0.19517892125</v>
      </c>
      <c r="E97" s="83">
        <f t="shared" si="13"/>
        <v>-193637.75364357399</v>
      </c>
      <c r="F97" s="83">
        <f t="shared" si="13"/>
        <v>-0.21103936000000001</v>
      </c>
      <c r="G97" s="166">
        <f>-8.45812152</f>
        <v>-8.4581215200000006</v>
      </c>
      <c r="H97" s="83">
        <f>-9019956.16793207+8.45812152</f>
        <v>-9019947.7098105513</v>
      </c>
      <c r="I97" s="83">
        <f>-8.29630501</f>
        <v>-8.2963050099999993</v>
      </c>
      <c r="J97" s="117">
        <f>J82</f>
        <v>-8.9407424599999992</v>
      </c>
      <c r="K97" s="118">
        <f>K82</f>
        <v>-9213597.5541339293</v>
      </c>
      <c r="L97" s="85">
        <f>L82</f>
        <v>-8.8183975179999994</v>
      </c>
      <c r="M97" s="68">
        <f>H100+2*1.68514</f>
        <v>2.7433061020664224</v>
      </c>
      <c r="N97" s="170"/>
      <c r="O97" s="161"/>
      <c r="P97" s="93"/>
      <c r="Q97" s="159"/>
      <c r="R97" s="160"/>
      <c r="S97" s="93"/>
      <c r="T97" s="167"/>
      <c r="U97" s="167"/>
    </row>
    <row r="98" spans="1:21" x14ac:dyDescent="0.15">
      <c r="A98" s="84">
        <f>A83</f>
        <v>-0.19517892125</v>
      </c>
      <c r="B98" s="171">
        <f>B83</f>
        <v>-193637.75364357399</v>
      </c>
      <c r="C98" s="146">
        <f>C83</f>
        <v>-0.21103936000000001</v>
      </c>
      <c r="D98" s="166"/>
      <c r="E98" s="83"/>
      <c r="F98" s="83"/>
      <c r="G98" s="166"/>
      <c r="H98" s="83"/>
      <c r="I98" s="83"/>
      <c r="J98" s="117"/>
      <c r="K98" s="118"/>
      <c r="L98" s="85"/>
      <c r="M98" s="68"/>
      <c r="N98" s="170" t="s">
        <v>95</v>
      </c>
      <c r="O98" s="93"/>
      <c r="P98" s="93"/>
      <c r="Q98" s="159"/>
      <c r="R98" s="172">
        <v>1.54</v>
      </c>
      <c r="S98" s="93">
        <v>4.88</v>
      </c>
      <c r="T98" s="167"/>
      <c r="U98" s="167"/>
    </row>
    <row r="99" spans="1:21" x14ac:dyDescent="0.15">
      <c r="A99" s="84"/>
      <c r="B99" s="171"/>
      <c r="C99" s="146"/>
      <c r="D99" s="166"/>
      <c r="E99" s="83"/>
      <c r="F99" s="83"/>
      <c r="G99" s="166"/>
      <c r="H99" s="83"/>
      <c r="I99" s="83"/>
      <c r="J99" s="117"/>
      <c r="K99" s="118"/>
      <c r="L99" s="85"/>
      <c r="M99" s="68"/>
      <c r="N99" s="170"/>
      <c r="O99" s="93"/>
      <c r="P99" s="93"/>
      <c r="Q99" s="159"/>
      <c r="R99" s="172"/>
      <c r="S99" s="93"/>
      <c r="T99" s="167"/>
      <c r="U99" s="167"/>
    </row>
    <row r="100" spans="1:21" ht="13.5" customHeight="1" x14ac:dyDescent="0.15">
      <c r="A100" s="75" t="s">
        <v>44</v>
      </c>
      <c r="B100" s="88">
        <f>E100+H100</f>
        <v>-0.24015784543357915</v>
      </c>
      <c r="C100" s="88"/>
      <c r="D100" s="77" t="s">
        <v>45</v>
      </c>
      <c r="E100" s="76">
        <f>G97-J97+A95</f>
        <v>0.38681605249999856</v>
      </c>
      <c r="F100" s="76"/>
      <c r="G100" s="78" t="s">
        <v>46</v>
      </c>
      <c r="H100" s="88">
        <f>H97-K97+B95+(2)*(-5.84033)</f>
        <v>-0.62697389793357772</v>
      </c>
      <c r="I100" s="88"/>
      <c r="J100" s="78" t="s">
        <v>47</v>
      </c>
      <c r="K100" s="79">
        <f>I97-L97+C95+H100</f>
        <v>-0.25314635080857761</v>
      </c>
      <c r="L100" s="79"/>
      <c r="M100" s="80">
        <f>K100+2*1.68514</f>
        <v>3.1171336491914223</v>
      </c>
      <c r="N100" s="170"/>
      <c r="O100" s="93"/>
      <c r="P100" s="93"/>
      <c r="Q100" s="159"/>
      <c r="R100" s="172"/>
      <c r="S100" s="93"/>
      <c r="T100" s="167"/>
      <c r="U100" s="167"/>
    </row>
    <row r="101" spans="1:21" x14ac:dyDescent="0.15">
      <c r="A101" s="75"/>
      <c r="B101" s="88"/>
      <c r="C101" s="88"/>
      <c r="D101" s="77"/>
      <c r="E101" s="77"/>
      <c r="F101" s="76"/>
      <c r="G101" s="78"/>
      <c r="H101" s="88"/>
      <c r="I101" s="88"/>
      <c r="J101" s="78"/>
      <c r="K101" s="79"/>
      <c r="L101" s="79"/>
      <c r="M101" s="80"/>
      <c r="N101" s="157" t="s">
        <v>96</v>
      </c>
      <c r="O101" s="157"/>
      <c r="P101" s="157"/>
      <c r="Q101" s="159"/>
      <c r="R101" s="160" t="s">
        <v>97</v>
      </c>
      <c r="S101" s="161" t="s">
        <v>97</v>
      </c>
      <c r="T101" s="167"/>
      <c r="U101" s="167"/>
    </row>
    <row r="102" spans="1:21" x14ac:dyDescent="0.15">
      <c r="A102" s="75"/>
      <c r="B102" s="88"/>
      <c r="C102" s="88"/>
      <c r="D102" s="77"/>
      <c r="E102" s="77"/>
      <c r="F102" s="76"/>
      <c r="G102" s="78"/>
      <c r="H102" s="88"/>
      <c r="I102" s="88"/>
      <c r="J102" s="78"/>
      <c r="K102" s="79"/>
      <c r="L102" s="79"/>
      <c r="M102" s="80"/>
      <c r="N102" s="157"/>
      <c r="O102" s="157"/>
      <c r="P102" s="157"/>
      <c r="Q102" s="159"/>
      <c r="R102" s="160"/>
      <c r="S102" s="161"/>
      <c r="T102" s="167"/>
      <c r="U102" s="167"/>
    </row>
    <row r="103" spans="1:21" ht="13.5" customHeight="1" x14ac:dyDescent="0.15">
      <c r="A103" s="97" t="s">
        <v>50</v>
      </c>
      <c r="B103" s="98">
        <f>E103+H103</f>
        <v>0.69746182281689351</v>
      </c>
      <c r="C103" s="98"/>
      <c r="D103" s="99" t="s">
        <v>51</v>
      </c>
      <c r="E103" s="113">
        <f>G97-J97+D97</f>
        <v>0.28744201874999853</v>
      </c>
      <c r="F103" s="113"/>
      <c r="G103" s="101" t="s">
        <v>52</v>
      </c>
      <c r="H103" s="100">
        <f>H97-K97+E97+(2)*(-5.84033)</f>
        <v>0.41001980406689498</v>
      </c>
      <c r="I103" s="100"/>
      <c r="J103" s="102" t="s">
        <v>53</v>
      </c>
      <c r="K103" s="114">
        <f>I97-L97+F97+H103</f>
        <v>0.72107295206689503</v>
      </c>
      <c r="L103" s="114"/>
      <c r="M103" s="80">
        <f>K103+2*1.68514</f>
        <v>4.0913529520668952</v>
      </c>
      <c r="N103" s="157"/>
      <c r="O103" s="157"/>
      <c r="P103" s="157"/>
      <c r="Q103" s="159"/>
      <c r="R103" s="160"/>
      <c r="S103" s="161"/>
      <c r="T103" s="167"/>
      <c r="U103" s="167"/>
    </row>
    <row r="104" spans="1:21" x14ac:dyDescent="0.15">
      <c r="A104" s="97"/>
      <c r="B104" s="98"/>
      <c r="C104" s="98"/>
      <c r="D104" s="99"/>
      <c r="E104" s="99"/>
      <c r="F104" s="113"/>
      <c r="G104" s="101"/>
      <c r="H104" s="100"/>
      <c r="I104" s="100"/>
      <c r="J104" s="102"/>
      <c r="K104" s="114"/>
      <c r="L104" s="114"/>
      <c r="M104" s="80"/>
      <c r="N104" s="173" t="s">
        <v>98</v>
      </c>
      <c r="O104" s="173"/>
      <c r="P104" s="173"/>
      <c r="Q104" s="159"/>
      <c r="R104" s="160" t="s">
        <v>97</v>
      </c>
      <c r="S104" s="161" t="s">
        <v>97</v>
      </c>
      <c r="T104" s="167"/>
      <c r="U104" s="167"/>
    </row>
    <row r="105" spans="1:21" x14ac:dyDescent="0.15">
      <c r="A105" s="97"/>
      <c r="B105" s="98"/>
      <c r="C105" s="98"/>
      <c r="D105" s="99"/>
      <c r="E105" s="99"/>
      <c r="F105" s="113"/>
      <c r="G105" s="101"/>
      <c r="H105" s="100"/>
      <c r="I105" s="100"/>
      <c r="J105" s="102"/>
      <c r="K105" s="114"/>
      <c r="L105" s="114"/>
      <c r="M105" s="80"/>
      <c r="N105" s="173"/>
      <c r="O105" s="173"/>
      <c r="P105" s="173"/>
      <c r="Q105" s="159"/>
      <c r="R105" s="160"/>
      <c r="S105" s="161"/>
      <c r="T105" s="167"/>
      <c r="U105" s="167"/>
    </row>
    <row r="106" spans="1:21" x14ac:dyDescent="0.15">
      <c r="N106" s="173"/>
      <c r="O106" s="173"/>
      <c r="P106" s="173"/>
      <c r="Q106" s="159"/>
      <c r="R106" s="160"/>
      <c r="S106" s="161"/>
      <c r="T106" s="167"/>
      <c r="U106" s="167"/>
    </row>
    <row r="107" spans="1:21" x14ac:dyDescent="0.15">
      <c r="N107" s="157" t="s">
        <v>99</v>
      </c>
      <c r="O107" s="157"/>
      <c r="P107" s="157"/>
      <c r="Q107" s="159"/>
      <c r="R107" s="160" t="s">
        <v>97</v>
      </c>
      <c r="S107" s="161" t="s">
        <v>97</v>
      </c>
      <c r="T107" s="167"/>
      <c r="U107" s="167"/>
    </row>
    <row r="108" spans="1:21" x14ac:dyDescent="0.15">
      <c r="N108" s="157"/>
      <c r="O108" s="157"/>
      <c r="P108" s="157"/>
      <c r="Q108" s="159"/>
      <c r="R108" s="160"/>
      <c r="S108" s="161"/>
      <c r="T108" s="167"/>
      <c r="U108" s="167"/>
    </row>
    <row r="109" spans="1:21" x14ac:dyDescent="0.15">
      <c r="N109" s="157"/>
      <c r="O109" s="157"/>
      <c r="P109" s="157"/>
      <c r="Q109" s="159"/>
      <c r="R109" s="160"/>
      <c r="S109" s="161"/>
      <c r="T109" s="167"/>
      <c r="U109" s="167"/>
    </row>
    <row r="110" spans="1:21" x14ac:dyDescent="0.15">
      <c r="N110" s="174" t="s">
        <v>92</v>
      </c>
      <c r="O110" s="174"/>
      <c r="P110" s="174"/>
      <c r="Q110" s="159"/>
      <c r="R110" s="175" t="s">
        <v>97</v>
      </c>
      <c r="S110" s="176" t="s">
        <v>97</v>
      </c>
      <c r="T110" s="167"/>
      <c r="U110" s="167"/>
    </row>
    <row r="111" spans="1:21" x14ac:dyDescent="0.15">
      <c r="N111" s="174"/>
      <c r="O111" s="174"/>
      <c r="P111" s="174"/>
      <c r="Q111" s="159"/>
      <c r="R111" s="175"/>
      <c r="S111" s="176"/>
      <c r="T111" s="167"/>
      <c r="U111" s="167"/>
    </row>
    <row r="112" spans="1:21" x14ac:dyDescent="0.15">
      <c r="N112" s="174"/>
      <c r="O112" s="174"/>
      <c r="P112" s="174"/>
      <c r="Q112" s="159"/>
      <c r="R112" s="175"/>
      <c r="S112" s="176"/>
      <c r="T112" s="167"/>
      <c r="U112" s="167"/>
    </row>
    <row r="113" spans="2:16" x14ac:dyDescent="0.15">
      <c r="M113" s="174" t="s">
        <v>92</v>
      </c>
      <c r="N113" s="174"/>
      <c r="O113" s="174"/>
      <c r="P113" s="159"/>
    </row>
    <row r="114" spans="2:16" x14ac:dyDescent="0.15">
      <c r="M114" s="174"/>
      <c r="N114" s="174"/>
      <c r="O114" s="174"/>
      <c r="P114" s="159"/>
    </row>
    <row r="115" spans="2:16" x14ac:dyDescent="0.15">
      <c r="B115" s="53">
        <v>0</v>
      </c>
      <c r="E115" s="53">
        <v>1</v>
      </c>
      <c r="H115" s="53">
        <v>-1</v>
      </c>
      <c r="K115" s="53">
        <v>2</v>
      </c>
      <c r="M115" s="174"/>
      <c r="N115" s="174"/>
      <c r="O115" s="174"/>
      <c r="P115" s="159"/>
    </row>
    <row r="116" spans="2:16" x14ac:dyDescent="0.15">
      <c r="N116" s="53">
        <v>-2</v>
      </c>
    </row>
    <row r="117" spans="2:16" x14ac:dyDescent="0.15">
      <c r="B117" s="54" t="s">
        <v>123</v>
      </c>
      <c r="C117" s="54"/>
      <c r="D117" s="55"/>
      <c r="E117" s="56" t="s">
        <v>101</v>
      </c>
      <c r="F117" s="54"/>
      <c r="G117" s="55"/>
      <c r="H117" s="56" t="s">
        <v>59</v>
      </c>
      <c r="I117" s="54"/>
      <c r="J117" s="55"/>
      <c r="K117" s="56" t="s">
        <v>101</v>
      </c>
      <c r="L117" s="54"/>
      <c r="M117" s="55"/>
      <c r="N117" s="56" t="s">
        <v>100</v>
      </c>
      <c r="O117" s="54"/>
      <c r="P117" s="55"/>
    </row>
    <row r="118" spans="2:16" x14ac:dyDescent="0.15">
      <c r="B118" s="54"/>
      <c r="C118" s="54"/>
      <c r="D118" s="55"/>
      <c r="E118" s="56"/>
      <c r="F118" s="54"/>
      <c r="G118" s="55"/>
      <c r="H118" s="56"/>
      <c r="I118" s="54"/>
      <c r="J118" s="55"/>
      <c r="K118" s="56"/>
      <c r="L118" s="54"/>
      <c r="M118" s="55"/>
      <c r="N118" s="56"/>
      <c r="O118" s="54"/>
      <c r="P118" s="55"/>
    </row>
    <row r="119" spans="2:16" x14ac:dyDescent="0.15">
      <c r="B119" s="54"/>
      <c r="C119" s="54"/>
      <c r="D119" s="55"/>
      <c r="E119" s="56"/>
      <c r="F119" s="54"/>
      <c r="G119" s="55"/>
      <c r="H119" s="56"/>
      <c r="I119" s="54"/>
      <c r="J119" s="55"/>
      <c r="K119" s="56"/>
      <c r="L119" s="54"/>
      <c r="M119" s="55"/>
      <c r="N119" s="56"/>
      <c r="O119" s="54"/>
      <c r="P119" s="55"/>
    </row>
    <row r="120" spans="2:16" x14ac:dyDescent="0.15">
      <c r="B120" s="54" t="s">
        <v>55</v>
      </c>
      <c r="C120" s="54" t="s">
        <v>6</v>
      </c>
      <c r="D120" s="55" t="s">
        <v>7</v>
      </c>
      <c r="E120" s="56" t="s">
        <v>5</v>
      </c>
      <c r="F120" s="54" t="s">
        <v>6</v>
      </c>
      <c r="G120" s="55" t="s">
        <v>7</v>
      </c>
      <c r="H120" s="56" t="s">
        <v>5</v>
      </c>
      <c r="I120" s="54" t="s">
        <v>6</v>
      </c>
      <c r="J120" s="55" t="s">
        <v>7</v>
      </c>
      <c r="K120" s="56" t="s">
        <v>5</v>
      </c>
      <c r="L120" s="54" t="s">
        <v>6</v>
      </c>
      <c r="M120" s="55" t="s">
        <v>7</v>
      </c>
      <c r="N120" s="56" t="s">
        <v>5</v>
      </c>
      <c r="O120" s="54" t="s">
        <v>6</v>
      </c>
      <c r="P120" s="55" t="s">
        <v>7</v>
      </c>
    </row>
    <row r="121" spans="2:16" x14ac:dyDescent="0.15">
      <c r="B121" s="54"/>
      <c r="C121" s="54"/>
      <c r="D121" s="55"/>
      <c r="E121" s="56">
        <v>-9.5804887500000005E-2</v>
      </c>
      <c r="F121" s="54">
        <v>-193638.79063727599</v>
      </c>
      <c r="G121" s="55">
        <v>-0.14826496087499999</v>
      </c>
      <c r="H121" s="56"/>
      <c r="I121" s="54"/>
      <c r="J121" s="55"/>
      <c r="K121" s="56">
        <v>-9.5804887500000005E-2</v>
      </c>
      <c r="L121" s="54">
        <v>-193638.79063727599</v>
      </c>
      <c r="M121" s="55">
        <v>-0.14826496087499999</v>
      </c>
      <c r="N121" s="56">
        <v>-0.23084000499999999</v>
      </c>
      <c r="O121" s="54">
        <v>-568161.34678290901</v>
      </c>
      <c r="P121" s="55">
        <v>-0.16990864924999999</v>
      </c>
    </row>
    <row r="122" spans="2:16" x14ac:dyDescent="0.15">
      <c r="B122" s="54"/>
      <c r="C122" s="54"/>
      <c r="D122" s="55"/>
      <c r="E122" s="56"/>
      <c r="F122" s="54"/>
      <c r="G122" s="55"/>
      <c r="H122" s="56"/>
      <c r="I122" s="54"/>
      <c r="J122" s="55"/>
      <c r="K122" s="56"/>
      <c r="L122" s="54"/>
      <c r="M122" s="55"/>
      <c r="N122" s="56"/>
      <c r="O122" s="54"/>
      <c r="P122" s="55"/>
    </row>
    <row r="123" spans="2:16" x14ac:dyDescent="0.15">
      <c r="B123" s="54">
        <v>-8.9407424599999992</v>
      </c>
      <c r="C123" s="54">
        <v>-9213597.55413392</v>
      </c>
      <c r="D123" s="55">
        <v>-8.8183975179999994</v>
      </c>
      <c r="E123" s="56" t="s">
        <v>5</v>
      </c>
      <c r="F123" s="54" t="s">
        <v>6</v>
      </c>
      <c r="G123" s="55" t="s">
        <v>7</v>
      </c>
      <c r="H123" s="56">
        <v>-8.4200455299999994</v>
      </c>
      <c r="I123" s="54">
        <v>-9210977.72591516</v>
      </c>
      <c r="J123" s="55">
        <v>-8.2455312799999998</v>
      </c>
      <c r="K123" s="56" t="s">
        <v>5</v>
      </c>
      <c r="L123" s="54" t="s">
        <v>6</v>
      </c>
      <c r="M123" s="55" t="s">
        <v>7</v>
      </c>
      <c r="N123" s="56" t="s">
        <v>5</v>
      </c>
      <c r="O123" s="54" t="s">
        <v>6</v>
      </c>
      <c r="P123" s="55" t="s">
        <v>7</v>
      </c>
    </row>
    <row r="124" spans="2:16" x14ac:dyDescent="0.15">
      <c r="B124" s="54"/>
      <c r="C124" s="54"/>
      <c r="D124" s="55"/>
      <c r="E124" s="56">
        <v>-0.19517892125</v>
      </c>
      <c r="F124" s="54">
        <v>-193637.75364357399</v>
      </c>
      <c r="G124" s="55">
        <v>-0.21103936000000001</v>
      </c>
      <c r="H124" s="56"/>
      <c r="I124" s="54"/>
      <c r="J124" s="55"/>
      <c r="K124" s="56">
        <v>-0.19517892125</v>
      </c>
      <c r="L124" s="54">
        <v>-193637.75364357399</v>
      </c>
      <c r="M124" s="55">
        <v>-0.21103936000000001</v>
      </c>
      <c r="N124" s="56">
        <v>-0.42958807249999997</v>
      </c>
      <c r="O124" s="54">
        <v>-568159.27279550501</v>
      </c>
      <c r="P124" s="55">
        <v>-0.29545744750000003</v>
      </c>
    </row>
    <row r="125" spans="2:16" x14ac:dyDescent="0.15">
      <c r="B125" s="54"/>
      <c r="C125" s="54"/>
      <c r="D125" s="55"/>
      <c r="E125" s="56"/>
      <c r="F125" s="54"/>
      <c r="G125" s="55"/>
      <c r="H125" s="56"/>
      <c r="I125" s="54"/>
      <c r="J125" s="55"/>
      <c r="K125" s="56"/>
      <c r="L125" s="54"/>
      <c r="M125" s="55"/>
      <c r="N125" s="56"/>
      <c r="O125" s="54"/>
      <c r="P125" s="55"/>
    </row>
    <row r="126" spans="2:16" ht="27" x14ac:dyDescent="0.15">
      <c r="B126" s="57" t="s">
        <v>21</v>
      </c>
      <c r="C126" s="54">
        <v>1.0656135783692156</v>
      </c>
      <c r="D126" s="55"/>
      <c r="E126" s="58" t="s">
        <v>102</v>
      </c>
      <c r="F126" s="54">
        <v>-0.39070759223926355</v>
      </c>
      <c r="G126" s="55"/>
      <c r="H126" s="58" t="s">
        <v>21</v>
      </c>
      <c r="I126" s="54">
        <v>0.85592020274148872</v>
      </c>
      <c r="J126" s="55"/>
      <c r="K126" s="58" t="s">
        <v>102</v>
      </c>
      <c r="L126" s="54">
        <v>-0.25314635080857761</v>
      </c>
      <c r="M126" s="55"/>
      <c r="N126" s="58" t="s">
        <v>21</v>
      </c>
      <c r="O126" s="54">
        <v>0.54127208163842244</v>
      </c>
      <c r="P126" s="55"/>
    </row>
    <row r="127" spans="2:16" x14ac:dyDescent="0.15">
      <c r="B127" s="54"/>
      <c r="C127" s="54"/>
      <c r="D127" s="55"/>
      <c r="E127" s="56"/>
      <c r="F127" s="54"/>
      <c r="G127" s="55"/>
      <c r="H127" s="56"/>
      <c r="I127" s="54"/>
      <c r="J127" s="55"/>
      <c r="K127" s="56"/>
      <c r="L127" s="54"/>
      <c r="M127" s="55"/>
      <c r="N127" s="56"/>
      <c r="O127" s="54"/>
      <c r="P127" s="55"/>
    </row>
    <row r="128" spans="2:16" x14ac:dyDescent="0.15">
      <c r="B128" s="54"/>
      <c r="C128" s="54"/>
      <c r="D128" s="55"/>
      <c r="E128" s="56"/>
      <c r="F128" s="54"/>
      <c r="G128" s="55"/>
      <c r="H128" s="56"/>
      <c r="I128" s="54"/>
      <c r="J128" s="55"/>
      <c r="K128" s="56"/>
      <c r="L128" s="54"/>
      <c r="M128" s="55"/>
      <c r="N128" s="56"/>
      <c r="O128" s="54"/>
      <c r="P128" s="55"/>
    </row>
    <row r="129" spans="1:16" ht="27" x14ac:dyDescent="0.15">
      <c r="B129" s="57" t="s">
        <v>28</v>
      </c>
      <c r="C129" s="54">
        <v>3.0140521841201608</v>
      </c>
      <c r="D129" s="55"/>
      <c r="E129" s="58" t="s">
        <v>103</v>
      </c>
      <c r="F129" s="54">
        <v>0.5835117106362091</v>
      </c>
      <c r="G129" s="55"/>
      <c r="H129" s="58" t="s">
        <v>28</v>
      </c>
      <c r="I129" s="54">
        <v>2.804358808492434</v>
      </c>
      <c r="J129" s="55"/>
      <c r="K129" s="58" t="s">
        <v>103</v>
      </c>
      <c r="L129" s="54">
        <v>0.72107295206689503</v>
      </c>
      <c r="M129" s="55"/>
      <c r="N129" s="58" t="s">
        <v>28</v>
      </c>
      <c r="O129" s="54">
        <v>2.4897106873893677</v>
      </c>
      <c r="P129" s="55"/>
    </row>
    <row r="130" spans="1:16" x14ac:dyDescent="0.15">
      <c r="B130" s="54"/>
      <c r="C130" s="54"/>
      <c r="D130" s="55"/>
      <c r="E130" s="56"/>
      <c r="F130" s="54"/>
      <c r="G130" s="55"/>
      <c r="H130" s="56"/>
      <c r="I130" s="54"/>
      <c r="J130" s="55"/>
      <c r="K130" s="56"/>
      <c r="L130" s="54"/>
      <c r="M130" s="55"/>
      <c r="N130" s="56"/>
      <c r="O130" s="54"/>
      <c r="P130" s="55"/>
    </row>
    <row r="131" spans="1:16" x14ac:dyDescent="0.15">
      <c r="B131" s="54"/>
      <c r="C131" s="54"/>
      <c r="D131" s="55"/>
      <c r="E131" s="56"/>
      <c r="F131" s="54"/>
      <c r="G131" s="55"/>
      <c r="H131" s="56"/>
      <c r="I131" s="54"/>
      <c r="J131" s="55"/>
      <c r="K131" s="56"/>
      <c r="L131" s="54"/>
      <c r="M131" s="55"/>
      <c r="N131" s="56"/>
      <c r="O131" s="54"/>
      <c r="P131" s="55"/>
    </row>
    <row r="134" spans="1:16" x14ac:dyDescent="0.15">
      <c r="A134" s="53">
        <v>1</v>
      </c>
      <c r="B134">
        <f>C126-F126</f>
        <v>1.4563211706084791</v>
      </c>
      <c r="D134" s="53">
        <v>-1</v>
      </c>
      <c r="E134">
        <f>(I126-F126)/2</f>
        <v>0.62331389749037613</v>
      </c>
      <c r="G134" s="53">
        <v>2</v>
      </c>
      <c r="I134">
        <f>( I126-L126)/3</f>
        <v>0.36968885118335543</v>
      </c>
      <c r="J134" s="53">
        <v>-2</v>
      </c>
      <c r="L134">
        <f>(O126-L126)/4</f>
        <v>0.19860460811175001</v>
      </c>
    </row>
    <row r="135" spans="1:16" x14ac:dyDescent="0.15">
      <c r="E135">
        <f>(I129-F129)/2</f>
        <v>1.1104235489281125</v>
      </c>
      <c r="I135">
        <f>(I129-L129)/3</f>
        <v>0.69442861880851303</v>
      </c>
      <c r="L135">
        <f>(O129-L129)/4</f>
        <v>0.44215943383061818</v>
      </c>
    </row>
    <row r="139" spans="1:16" x14ac:dyDescent="0.15">
      <c r="A139" s="53">
        <v>-1</v>
      </c>
      <c r="B139">
        <f>I126-C126</f>
        <v>-0.20969337562772683</v>
      </c>
      <c r="D139" s="53">
        <v>2</v>
      </c>
      <c r="E139">
        <f>F126-L126</f>
        <v>-0.13756124143068593</v>
      </c>
      <c r="G139" s="53">
        <v>-2</v>
      </c>
      <c r="I139">
        <f>O129-I129</f>
        <v>-0.31464812110306628</v>
      </c>
    </row>
    <row r="143" spans="1:16" x14ac:dyDescent="0.15">
      <c r="A143" s="53">
        <v>2</v>
      </c>
      <c r="B143">
        <f>(C126-L126)/2</f>
        <v>0.65937996458889658</v>
      </c>
      <c r="D143" s="53">
        <v>-2</v>
      </c>
      <c r="E143">
        <f>(O126-F126)/3</f>
        <v>0.310659891292562</v>
      </c>
    </row>
    <row r="147" spans="1:2" x14ac:dyDescent="0.15">
      <c r="A147" s="53">
        <v>-2</v>
      </c>
      <c r="B147">
        <f>(O126-C126)/2</f>
        <v>-0.26217074836539656</v>
      </c>
    </row>
  </sheetData>
  <mergeCells count="459">
    <mergeCell ref="N110:N112"/>
    <mergeCell ref="O110:O112"/>
    <mergeCell ref="P110:P112"/>
    <mergeCell ref="Q110:Q112"/>
    <mergeCell ref="R110:R112"/>
    <mergeCell ref="S110:S112"/>
    <mergeCell ref="T110:T112"/>
    <mergeCell ref="U110:U112"/>
    <mergeCell ref="M113:M115"/>
    <mergeCell ref="N113:N115"/>
    <mergeCell ref="O113:O115"/>
    <mergeCell ref="P113:P115"/>
    <mergeCell ref="O104:O106"/>
    <mergeCell ref="P104:P106"/>
    <mergeCell ref="Q104:Q106"/>
    <mergeCell ref="R104:R106"/>
    <mergeCell ref="S104:S106"/>
    <mergeCell ref="T104:T106"/>
    <mergeCell ref="U104:U106"/>
    <mergeCell ref="N107:N109"/>
    <mergeCell ref="O107:O109"/>
    <mergeCell ref="P107:P109"/>
    <mergeCell ref="Q107:Q109"/>
    <mergeCell ref="R107:R109"/>
    <mergeCell ref="S107:S109"/>
    <mergeCell ref="T107:T109"/>
    <mergeCell ref="U107:U109"/>
    <mergeCell ref="B103:C105"/>
    <mergeCell ref="D103:D105"/>
    <mergeCell ref="E103:F105"/>
    <mergeCell ref="G103:G105"/>
    <mergeCell ref="H103:I105"/>
    <mergeCell ref="J103:J105"/>
    <mergeCell ref="K103:L105"/>
    <mergeCell ref="M103:M105"/>
    <mergeCell ref="N104:N106"/>
    <mergeCell ref="P98:P100"/>
    <mergeCell ref="Q98:Q100"/>
    <mergeCell ref="R98:R100"/>
    <mergeCell ref="S98:S100"/>
    <mergeCell ref="T98:T100"/>
    <mergeCell ref="U98:U100"/>
    <mergeCell ref="A100:A102"/>
    <mergeCell ref="B100:C102"/>
    <mergeCell ref="D100:D102"/>
    <mergeCell ref="E100:F102"/>
    <mergeCell ref="G100:G102"/>
    <mergeCell ref="H100:I102"/>
    <mergeCell ref="J100:J102"/>
    <mergeCell ref="K100:L102"/>
    <mergeCell ref="M100:M102"/>
    <mergeCell ref="N101:N103"/>
    <mergeCell ref="O101:O103"/>
    <mergeCell ref="P101:P103"/>
    <mergeCell ref="Q101:Q103"/>
    <mergeCell ref="R101:R103"/>
    <mergeCell ref="S101:S103"/>
    <mergeCell ref="T101:T103"/>
    <mergeCell ref="U101:U103"/>
    <mergeCell ref="A103:A105"/>
    <mergeCell ref="A95:A96"/>
    <mergeCell ref="B95:B96"/>
    <mergeCell ref="C95:C96"/>
    <mergeCell ref="N95:N97"/>
    <mergeCell ref="O95:O97"/>
    <mergeCell ref="P95:P97"/>
    <mergeCell ref="Q95:Q97"/>
    <mergeCell ref="R95:R97"/>
    <mergeCell ref="S95:S97"/>
    <mergeCell ref="D97:D99"/>
    <mergeCell ref="E97:E99"/>
    <mergeCell ref="F97:F99"/>
    <mergeCell ref="G97:G99"/>
    <mergeCell ref="H97:H99"/>
    <mergeCell ref="I97:I99"/>
    <mergeCell ref="J97:J99"/>
    <mergeCell ref="K97:K99"/>
    <mergeCell ref="L97:L99"/>
    <mergeCell ref="M97:M99"/>
    <mergeCell ref="A98:A99"/>
    <mergeCell ref="B98:B99"/>
    <mergeCell ref="C98:C99"/>
    <mergeCell ref="N98:N100"/>
    <mergeCell ref="O98:O100"/>
    <mergeCell ref="N92:N94"/>
    <mergeCell ref="O92:O94"/>
    <mergeCell ref="P92:P94"/>
    <mergeCell ref="Q92:Q94"/>
    <mergeCell ref="R92:R94"/>
    <mergeCell ref="S92:S94"/>
    <mergeCell ref="T92:T94"/>
    <mergeCell ref="U92:U94"/>
    <mergeCell ref="D94:D96"/>
    <mergeCell ref="E94:E96"/>
    <mergeCell ref="F94:F96"/>
    <mergeCell ref="G94:G96"/>
    <mergeCell ref="H94:H96"/>
    <mergeCell ref="I94:I96"/>
    <mergeCell ref="J94:J96"/>
    <mergeCell ref="K94:K96"/>
    <mergeCell ref="L94:L96"/>
    <mergeCell ref="M94:M96"/>
    <mergeCell ref="T95:T97"/>
    <mergeCell ref="U95:U97"/>
    <mergeCell ref="T86:T88"/>
    <mergeCell ref="U86:U88"/>
    <mergeCell ref="A88:A90"/>
    <mergeCell ref="B88:C90"/>
    <mergeCell ref="D88:D90"/>
    <mergeCell ref="E88:F90"/>
    <mergeCell ref="G88:G90"/>
    <mergeCell ref="H88:I90"/>
    <mergeCell ref="J88:J90"/>
    <mergeCell ref="K88:L90"/>
    <mergeCell ref="M88:M90"/>
    <mergeCell ref="N89:N91"/>
    <mergeCell ref="O89:O91"/>
    <mergeCell ref="P89:P91"/>
    <mergeCell ref="Q89:Q91"/>
    <mergeCell ref="R89:R91"/>
    <mergeCell ref="S89:S91"/>
    <mergeCell ref="T89:T91"/>
    <mergeCell ref="U89:U91"/>
    <mergeCell ref="A91:C93"/>
    <mergeCell ref="D91:F93"/>
    <mergeCell ref="G91:I93"/>
    <mergeCell ref="J91:L93"/>
    <mergeCell ref="M91:M93"/>
    <mergeCell ref="A83:A84"/>
    <mergeCell ref="B83:B84"/>
    <mergeCell ref="C83:C84"/>
    <mergeCell ref="N83:N85"/>
    <mergeCell ref="O83:O85"/>
    <mergeCell ref="P83:P85"/>
    <mergeCell ref="Q83:Q85"/>
    <mergeCell ref="R83:R85"/>
    <mergeCell ref="S83:S85"/>
    <mergeCell ref="A85:A87"/>
    <mergeCell ref="B85:C87"/>
    <mergeCell ref="D85:D87"/>
    <mergeCell ref="E85:F87"/>
    <mergeCell ref="G85:G87"/>
    <mergeCell ref="H85:I87"/>
    <mergeCell ref="J85:J87"/>
    <mergeCell ref="K85:L87"/>
    <mergeCell ref="M85:M87"/>
    <mergeCell ref="N86:N88"/>
    <mergeCell ref="O86:O88"/>
    <mergeCell ref="P86:P88"/>
    <mergeCell ref="Q86:Q88"/>
    <mergeCell ref="R86:R88"/>
    <mergeCell ref="S86:S88"/>
    <mergeCell ref="T80:T82"/>
    <mergeCell ref="U80:U82"/>
    <mergeCell ref="D82:D84"/>
    <mergeCell ref="E82:E84"/>
    <mergeCell ref="F82:F84"/>
    <mergeCell ref="G82:G84"/>
    <mergeCell ref="H82:H84"/>
    <mergeCell ref="I82:I84"/>
    <mergeCell ref="J82:J84"/>
    <mergeCell ref="K82:K84"/>
    <mergeCell ref="L82:L84"/>
    <mergeCell ref="M82:M84"/>
    <mergeCell ref="T83:T85"/>
    <mergeCell ref="U83:U85"/>
    <mergeCell ref="A80:A81"/>
    <mergeCell ref="B80:B81"/>
    <mergeCell ref="C80:C81"/>
    <mergeCell ref="N80:N82"/>
    <mergeCell ref="O80:O82"/>
    <mergeCell ref="P80:P82"/>
    <mergeCell ref="Q80:Q82"/>
    <mergeCell ref="R80:R82"/>
    <mergeCell ref="S80:S82"/>
    <mergeCell ref="U74:U76"/>
    <mergeCell ref="A76:C78"/>
    <mergeCell ref="D76:F78"/>
    <mergeCell ref="G76:I78"/>
    <mergeCell ref="J76:L78"/>
    <mergeCell ref="M76:M78"/>
    <mergeCell ref="N77:N79"/>
    <mergeCell ref="O77:O79"/>
    <mergeCell ref="P77:P79"/>
    <mergeCell ref="Q77:Q79"/>
    <mergeCell ref="R77:R79"/>
    <mergeCell ref="S77:S79"/>
    <mergeCell ref="T77:T79"/>
    <mergeCell ref="U77:U79"/>
    <mergeCell ref="D79:D81"/>
    <mergeCell ref="E79:E81"/>
    <mergeCell ref="F79:F81"/>
    <mergeCell ref="G79:G81"/>
    <mergeCell ref="H79:H81"/>
    <mergeCell ref="I79:I81"/>
    <mergeCell ref="J79:J81"/>
    <mergeCell ref="K79:K81"/>
    <mergeCell ref="L79:L81"/>
    <mergeCell ref="M79:M81"/>
    <mergeCell ref="N71:N73"/>
    <mergeCell ref="O71:O73"/>
    <mergeCell ref="P71:P73"/>
    <mergeCell ref="Q71:Q73"/>
    <mergeCell ref="R71:R73"/>
    <mergeCell ref="S71:S73"/>
    <mergeCell ref="T71:T73"/>
    <mergeCell ref="U71:U73"/>
    <mergeCell ref="A73:A75"/>
    <mergeCell ref="B73:C75"/>
    <mergeCell ref="D73:D75"/>
    <mergeCell ref="E73:F75"/>
    <mergeCell ref="G73:G75"/>
    <mergeCell ref="H73:I75"/>
    <mergeCell ref="J73:J75"/>
    <mergeCell ref="K73:L75"/>
    <mergeCell ref="M73:M75"/>
    <mergeCell ref="N74:N76"/>
    <mergeCell ref="O74:O76"/>
    <mergeCell ref="P74:P76"/>
    <mergeCell ref="Q74:Q76"/>
    <mergeCell ref="R74:R76"/>
    <mergeCell ref="S74:S76"/>
    <mergeCell ref="T74:T76"/>
    <mergeCell ref="M67:M69"/>
    <mergeCell ref="A68:A69"/>
    <mergeCell ref="B68:B69"/>
    <mergeCell ref="C68:C69"/>
    <mergeCell ref="A70:A72"/>
    <mergeCell ref="B70:C72"/>
    <mergeCell ref="D70:D72"/>
    <mergeCell ref="E70:F72"/>
    <mergeCell ref="G70:G72"/>
    <mergeCell ref="H70:I72"/>
    <mergeCell ref="J70:J72"/>
    <mergeCell ref="K70:L72"/>
    <mergeCell ref="M70:M72"/>
    <mergeCell ref="D67:D69"/>
    <mergeCell ref="E67:E69"/>
    <mergeCell ref="F67:F69"/>
    <mergeCell ref="G67:G69"/>
    <mergeCell ref="H67:H69"/>
    <mergeCell ref="I67:I69"/>
    <mergeCell ref="J67:J69"/>
    <mergeCell ref="K67:K69"/>
    <mergeCell ref="L67:L69"/>
    <mergeCell ref="A61:C63"/>
    <mergeCell ref="D61:F63"/>
    <mergeCell ref="G61:I63"/>
    <mergeCell ref="J61:L63"/>
    <mergeCell ref="M61:M63"/>
    <mergeCell ref="D64:D66"/>
    <mergeCell ref="E64:E66"/>
    <mergeCell ref="F64:F66"/>
    <mergeCell ref="G64:G66"/>
    <mergeCell ref="H64:H66"/>
    <mergeCell ref="I64:I66"/>
    <mergeCell ref="J64:J66"/>
    <mergeCell ref="K64:K66"/>
    <mergeCell ref="L64:L66"/>
    <mergeCell ref="M64:M66"/>
    <mergeCell ref="A65:A66"/>
    <mergeCell ref="B65:B66"/>
    <mergeCell ref="C65:C66"/>
    <mergeCell ref="A58:A60"/>
    <mergeCell ref="B58:C60"/>
    <mergeCell ref="D58:D60"/>
    <mergeCell ref="E58:F60"/>
    <mergeCell ref="G58:G60"/>
    <mergeCell ref="H58:I60"/>
    <mergeCell ref="J58:J60"/>
    <mergeCell ref="K58:L60"/>
    <mergeCell ref="M58:M60"/>
    <mergeCell ref="M52:M54"/>
    <mergeCell ref="A53:A54"/>
    <mergeCell ref="B53:B54"/>
    <mergeCell ref="C53:C54"/>
    <mergeCell ref="A55:A57"/>
    <mergeCell ref="B55:C57"/>
    <mergeCell ref="D55:D57"/>
    <mergeCell ref="E55:F57"/>
    <mergeCell ref="G55:G57"/>
    <mergeCell ref="H55:I57"/>
    <mergeCell ref="J55:J57"/>
    <mergeCell ref="K55:L57"/>
    <mergeCell ref="M55:M57"/>
    <mergeCell ref="D52:D54"/>
    <mergeCell ref="E52:E54"/>
    <mergeCell ref="F52:F54"/>
    <mergeCell ref="G52:G54"/>
    <mergeCell ref="H52:H54"/>
    <mergeCell ref="I52:I54"/>
    <mergeCell ref="J52:J54"/>
    <mergeCell ref="K52:K54"/>
    <mergeCell ref="L52:L54"/>
    <mergeCell ref="A46:C48"/>
    <mergeCell ref="D46:F48"/>
    <mergeCell ref="G46:I48"/>
    <mergeCell ref="J46:L48"/>
    <mergeCell ref="M46:M48"/>
    <mergeCell ref="D49:D51"/>
    <mergeCell ref="E49:E51"/>
    <mergeCell ref="F49:F51"/>
    <mergeCell ref="G49:G51"/>
    <mergeCell ref="H49:H51"/>
    <mergeCell ref="I49:I51"/>
    <mergeCell ref="J49:J51"/>
    <mergeCell ref="K49:K51"/>
    <mergeCell ref="L49:L51"/>
    <mergeCell ref="M49:M51"/>
    <mergeCell ref="A50:A51"/>
    <mergeCell ref="B50:B51"/>
    <mergeCell ref="C50:C51"/>
    <mergeCell ref="A43:A45"/>
    <mergeCell ref="B43:C45"/>
    <mergeCell ref="D43:D45"/>
    <mergeCell ref="E43:F45"/>
    <mergeCell ref="G43:G45"/>
    <mergeCell ref="H43:I45"/>
    <mergeCell ref="J43:J45"/>
    <mergeCell ref="K43:L45"/>
    <mergeCell ref="M43:M45"/>
    <mergeCell ref="M37:M39"/>
    <mergeCell ref="A38:A39"/>
    <mergeCell ref="B38:B39"/>
    <mergeCell ref="C38:C39"/>
    <mergeCell ref="A40:A42"/>
    <mergeCell ref="B40:C42"/>
    <mergeCell ref="D40:D42"/>
    <mergeCell ref="E40:F42"/>
    <mergeCell ref="G40:G42"/>
    <mergeCell ref="H40:I42"/>
    <mergeCell ref="J40:J42"/>
    <mergeCell ref="K40:L42"/>
    <mergeCell ref="M40:M42"/>
    <mergeCell ref="D37:D39"/>
    <mergeCell ref="E37:E39"/>
    <mergeCell ref="F37:F39"/>
    <mergeCell ref="G37:G39"/>
    <mergeCell ref="H37:H39"/>
    <mergeCell ref="I37:I39"/>
    <mergeCell ref="J37:J39"/>
    <mergeCell ref="K37:K39"/>
    <mergeCell ref="L37:L39"/>
    <mergeCell ref="A31:C33"/>
    <mergeCell ref="D31:F33"/>
    <mergeCell ref="G31:I33"/>
    <mergeCell ref="J31:L33"/>
    <mergeCell ref="M31:M33"/>
    <mergeCell ref="D34:D36"/>
    <mergeCell ref="E34:E36"/>
    <mergeCell ref="F34:F36"/>
    <mergeCell ref="G34:G36"/>
    <mergeCell ref="H34:H36"/>
    <mergeCell ref="I34:I36"/>
    <mergeCell ref="J34:J36"/>
    <mergeCell ref="K34:K36"/>
    <mergeCell ref="L34:L36"/>
    <mergeCell ref="M34:M36"/>
    <mergeCell ref="A35:A36"/>
    <mergeCell ref="B35:B36"/>
    <mergeCell ref="C35:C36"/>
    <mergeCell ref="A28:A30"/>
    <mergeCell ref="B28:C30"/>
    <mergeCell ref="D28:D30"/>
    <mergeCell ref="E28:F30"/>
    <mergeCell ref="G28:G30"/>
    <mergeCell ref="H28:I30"/>
    <mergeCell ref="J28:J30"/>
    <mergeCell ref="K28:L30"/>
    <mergeCell ref="M28:M30"/>
    <mergeCell ref="M22:M24"/>
    <mergeCell ref="A23:A24"/>
    <mergeCell ref="B23:B24"/>
    <mergeCell ref="C23:C24"/>
    <mergeCell ref="A25:A27"/>
    <mergeCell ref="B25:C27"/>
    <mergeCell ref="D25:D27"/>
    <mergeCell ref="E25:F27"/>
    <mergeCell ref="G25:G27"/>
    <mergeCell ref="H25:I27"/>
    <mergeCell ref="J25:J27"/>
    <mergeCell ref="K25:L27"/>
    <mergeCell ref="M25:M27"/>
    <mergeCell ref="D22:D24"/>
    <mergeCell ref="E22:E24"/>
    <mergeCell ref="F22:F24"/>
    <mergeCell ref="G22:G24"/>
    <mergeCell ref="H22:H24"/>
    <mergeCell ref="I22:I24"/>
    <mergeCell ref="J22:J24"/>
    <mergeCell ref="K22:K24"/>
    <mergeCell ref="L22:L24"/>
    <mergeCell ref="A16:C18"/>
    <mergeCell ref="D16:F18"/>
    <mergeCell ref="G16:I18"/>
    <mergeCell ref="J16:L18"/>
    <mergeCell ref="M16:M18"/>
    <mergeCell ref="D19:D21"/>
    <mergeCell ref="E19:E21"/>
    <mergeCell ref="F19:F21"/>
    <mergeCell ref="G19:G21"/>
    <mergeCell ref="H19:H21"/>
    <mergeCell ref="I19:I21"/>
    <mergeCell ref="J19:J21"/>
    <mergeCell ref="K19:K21"/>
    <mergeCell ref="L19:L21"/>
    <mergeCell ref="M19:M21"/>
    <mergeCell ref="A20:A21"/>
    <mergeCell ref="B20:B21"/>
    <mergeCell ref="C20:C21"/>
    <mergeCell ref="A13:A15"/>
    <mergeCell ref="B13:C15"/>
    <mergeCell ref="D13:D15"/>
    <mergeCell ref="E13:F15"/>
    <mergeCell ref="G13:G15"/>
    <mergeCell ref="H13:I15"/>
    <mergeCell ref="J13:J15"/>
    <mergeCell ref="K13:L15"/>
    <mergeCell ref="M13:M15"/>
    <mergeCell ref="M7:M9"/>
    <mergeCell ref="A8:A9"/>
    <mergeCell ref="B8:B9"/>
    <mergeCell ref="C8:C9"/>
    <mergeCell ref="A10:A12"/>
    <mergeCell ref="B10:C12"/>
    <mergeCell ref="D10:D12"/>
    <mergeCell ref="E10:F12"/>
    <mergeCell ref="G10:G12"/>
    <mergeCell ref="H10:I12"/>
    <mergeCell ref="J10:J12"/>
    <mergeCell ref="K10:L12"/>
    <mergeCell ref="M10:M12"/>
    <mergeCell ref="D7:D9"/>
    <mergeCell ref="E7:E9"/>
    <mergeCell ref="F7:F9"/>
    <mergeCell ref="G7:G9"/>
    <mergeCell ref="H7:H9"/>
    <mergeCell ref="I7:I9"/>
    <mergeCell ref="J7:J9"/>
    <mergeCell ref="K7:K9"/>
    <mergeCell ref="L7:L9"/>
    <mergeCell ref="A1:C3"/>
    <mergeCell ref="D1:F3"/>
    <mergeCell ref="G1:I3"/>
    <mergeCell ref="J1:L3"/>
    <mergeCell ref="M1:M3"/>
    <mergeCell ref="D4:D6"/>
    <mergeCell ref="E4:E6"/>
    <mergeCell ref="F4:F6"/>
    <mergeCell ref="G4:G6"/>
    <mergeCell ref="H4:H6"/>
    <mergeCell ref="I4:I6"/>
    <mergeCell ref="J4:J6"/>
    <mergeCell ref="K4:K6"/>
    <mergeCell ref="L4:L6"/>
    <mergeCell ref="M4:M6"/>
    <mergeCell ref="A5:A6"/>
    <mergeCell ref="B5:B6"/>
    <mergeCell ref="C5:C6"/>
  </mergeCells>
  <phoneticPr fontId="27" type="noConversion"/>
  <pageMargins left="0.75" right="0.75" top="1" bottom="1" header="0.51180555555555496" footer="0.51180555555555496"/>
  <pageSetup paperSize="9"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0" zoomScaleNormal="110" workbookViewId="0">
      <selection activeCellId="1" sqref="O2:S26 A1"/>
    </sheetView>
  </sheetViews>
  <sheetFormatPr defaultRowHeight="13.5" x14ac:dyDescent="0.15"/>
  <cols>
    <col min="1" max="1" width="8.75"/>
    <col min="2" max="1025" width="8.5"/>
  </cols>
  <sheetData/>
  <phoneticPr fontId="27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D10" zoomScale="110" zoomScaleNormal="110" workbookViewId="0">
      <selection activeCell="N22" activeCellId="1" sqref="O2:S26 N22"/>
    </sheetView>
  </sheetViews>
  <sheetFormatPr defaultRowHeight="13.5" x14ac:dyDescent="0.15"/>
  <cols>
    <col min="1" max="1" width="8.75"/>
    <col min="2" max="2" width="19.625"/>
    <col min="3" max="3" width="18.625"/>
    <col min="4" max="4" width="17.375"/>
    <col min="5" max="5" width="16.5"/>
    <col min="6" max="6" width="18.875"/>
    <col min="7" max="8" width="8.75"/>
    <col min="9" max="9" width="13.5"/>
    <col min="10" max="1025" width="8.75"/>
  </cols>
  <sheetData>
    <row r="1" spans="1:21" ht="13.5" customHeight="1" x14ac:dyDescent="0.15">
      <c r="A1" s="65" t="s">
        <v>104</v>
      </c>
      <c r="B1" s="65"/>
      <c r="C1" s="65" t="s">
        <v>105</v>
      </c>
      <c r="D1" s="65"/>
      <c r="E1" s="65"/>
      <c r="F1" s="65" t="s">
        <v>106</v>
      </c>
      <c r="G1" s="65"/>
      <c r="H1" s="65"/>
      <c r="I1" s="181" t="s">
        <v>107</v>
      </c>
      <c r="J1" s="177" t="s">
        <v>108</v>
      </c>
      <c r="K1" s="177"/>
      <c r="L1" s="177" t="s">
        <v>109</v>
      </c>
      <c r="M1" s="177"/>
      <c r="N1" s="178" t="s">
        <v>110</v>
      </c>
      <c r="O1" s="178"/>
      <c r="R1" s="179"/>
      <c r="S1" s="179"/>
      <c r="T1" s="179"/>
      <c r="U1" s="179"/>
    </row>
    <row r="2" spans="1:21" x14ac:dyDescent="0.15">
      <c r="A2" s="65"/>
      <c r="B2" s="65"/>
      <c r="C2" s="65"/>
      <c r="D2" s="65"/>
      <c r="E2" s="65"/>
      <c r="F2" s="65"/>
      <c r="G2" s="65"/>
      <c r="H2" s="65"/>
      <c r="I2" s="181"/>
      <c r="J2" s="177"/>
      <c r="K2" s="177"/>
      <c r="L2" s="177"/>
      <c r="M2" s="177"/>
      <c r="N2" s="178"/>
      <c r="O2" s="178"/>
      <c r="R2" s="179"/>
      <c r="S2" s="179"/>
      <c r="T2" s="179"/>
      <c r="U2" s="179"/>
    </row>
    <row r="3" spans="1:21" x14ac:dyDescent="0.15">
      <c r="A3" s="65"/>
      <c r="B3" s="65"/>
      <c r="C3" s="65"/>
      <c r="D3" s="65"/>
      <c r="E3" s="65"/>
      <c r="F3" s="65"/>
      <c r="G3" s="65"/>
      <c r="H3" s="65"/>
      <c r="I3" s="181"/>
      <c r="J3" s="177"/>
      <c r="K3" s="177"/>
      <c r="L3" s="177"/>
      <c r="M3" s="177"/>
      <c r="N3" s="178"/>
      <c r="O3" s="178"/>
      <c r="R3" s="179"/>
      <c r="S3" s="179"/>
      <c r="T3" s="179"/>
      <c r="U3" s="179"/>
    </row>
    <row r="4" spans="1:21" x14ac:dyDescent="0.15">
      <c r="A4" s="180" t="s">
        <v>111</v>
      </c>
      <c r="B4" s="180"/>
      <c r="C4" s="65">
        <f>-363.105</f>
        <v>-363.10500000000002</v>
      </c>
      <c r="D4" s="65"/>
      <c r="E4" s="65"/>
      <c r="F4" s="65">
        <f>-363.144</f>
        <v>-363.14400000000001</v>
      </c>
      <c r="G4" s="65"/>
      <c r="H4" s="65"/>
      <c r="I4" s="179">
        <f>C4*13.6056923</f>
        <v>-4940.2949025915004</v>
      </c>
      <c r="J4" s="179">
        <f>F4*13.6056923</f>
        <v>-4940.8255245911996</v>
      </c>
      <c r="K4" s="179"/>
      <c r="L4" s="179">
        <f>J4-I4</f>
        <v>-0.53062199969917856</v>
      </c>
      <c r="M4" s="179"/>
      <c r="N4" s="179"/>
      <c r="O4" s="179"/>
      <c r="R4" s="179"/>
      <c r="S4" s="179"/>
      <c r="T4" s="179"/>
      <c r="U4" s="59"/>
    </row>
    <row r="5" spans="1:21" x14ac:dyDescent="0.15">
      <c r="A5" s="180"/>
      <c r="B5" s="180"/>
      <c r="C5" s="65"/>
      <c r="D5" s="65"/>
      <c r="E5" s="65"/>
      <c r="F5" s="65"/>
      <c r="G5" s="65"/>
      <c r="H5" s="65"/>
      <c r="I5" s="179"/>
      <c r="J5" s="179"/>
      <c r="K5" s="179"/>
      <c r="L5" s="179"/>
      <c r="M5" s="179"/>
      <c r="N5" s="179"/>
      <c r="O5" s="179"/>
    </row>
    <row r="6" spans="1:21" x14ac:dyDescent="0.15">
      <c r="A6" s="180" t="s">
        <v>112</v>
      </c>
      <c r="B6" s="180"/>
      <c r="C6" s="65">
        <f>-264.832</f>
        <v>-264.83199999999999</v>
      </c>
      <c r="D6" s="65"/>
      <c r="E6" s="65"/>
      <c r="F6" s="65">
        <f>-264.825</f>
        <v>-264.82499999999999</v>
      </c>
      <c r="G6" s="65"/>
      <c r="H6" s="65"/>
      <c r="I6" s="179">
        <f>C6*13.6056923</f>
        <v>-3603.2227031936</v>
      </c>
      <c r="J6" s="179">
        <f>F6*13.6056923</f>
        <v>-3603.1274633474995</v>
      </c>
      <c r="K6" s="179"/>
      <c r="L6" s="179">
        <f>J6-I6</f>
        <v>9.5239846100412251E-2</v>
      </c>
      <c r="M6" s="179"/>
      <c r="N6" s="179"/>
      <c r="O6" s="179"/>
    </row>
    <row r="7" spans="1:21" x14ac:dyDescent="0.15">
      <c r="A7" s="180"/>
      <c r="B7" s="180"/>
      <c r="C7" s="65"/>
      <c r="D7" s="65"/>
      <c r="E7" s="65"/>
      <c r="F7" s="65"/>
      <c r="G7" s="65"/>
      <c r="H7" s="65"/>
      <c r="I7" s="179"/>
      <c r="J7" s="179"/>
      <c r="K7" s="179"/>
      <c r="L7" s="179"/>
      <c r="M7" s="179"/>
      <c r="N7" s="179"/>
      <c r="O7" s="179"/>
    </row>
    <row r="8" spans="1:21" x14ac:dyDescent="0.15">
      <c r="A8" s="65" t="s">
        <v>113</v>
      </c>
      <c r="B8" s="65"/>
      <c r="C8" s="65">
        <f>-98.266</f>
        <v>-98.266000000000005</v>
      </c>
      <c r="D8" s="65"/>
      <c r="E8" s="65"/>
      <c r="F8" s="65">
        <f>-98.315</f>
        <v>-98.314999999999998</v>
      </c>
      <c r="G8" s="65"/>
      <c r="H8" s="65"/>
      <c r="I8" s="179">
        <f>C8*13.6056923</f>
        <v>-1336.9769595518001</v>
      </c>
      <c r="J8" s="179">
        <f>F8*13.6056923</f>
        <v>-1337.6436384745</v>
      </c>
      <c r="K8" s="179"/>
      <c r="L8" s="179">
        <f>J8-I8</f>
        <v>-0.6666789226999299</v>
      </c>
      <c r="M8" s="179"/>
      <c r="N8" s="179"/>
      <c r="O8" s="179"/>
    </row>
    <row r="9" spans="1:21" x14ac:dyDescent="0.15">
      <c r="A9" s="65"/>
      <c r="B9" s="65"/>
      <c r="C9" s="65"/>
      <c r="D9" s="65"/>
      <c r="E9" s="65"/>
      <c r="F9" s="65"/>
      <c r="G9" s="65"/>
      <c r="H9" s="65"/>
      <c r="I9" s="179"/>
      <c r="J9" s="179"/>
      <c r="K9" s="179"/>
      <c r="L9" s="179"/>
      <c r="M9" s="179"/>
      <c r="N9" s="179"/>
      <c r="O9" s="179"/>
    </row>
    <row r="10" spans="1:21" x14ac:dyDescent="0.15">
      <c r="A10" s="65" t="s">
        <v>114</v>
      </c>
      <c r="B10" s="65"/>
      <c r="C10" s="65">
        <f>-146.851</f>
        <v>-146.851</v>
      </c>
      <c r="D10" s="65"/>
      <c r="E10" s="65"/>
      <c r="F10" s="65">
        <f>-146.89</f>
        <v>-146.88999999999999</v>
      </c>
      <c r="G10" s="65"/>
      <c r="H10" s="65"/>
      <c r="I10" s="179">
        <f>C10*13.6056923</f>
        <v>-1998.0095199472999</v>
      </c>
      <c r="J10" s="179">
        <f>F10*13.6056923</f>
        <v>-1998.5401419469997</v>
      </c>
      <c r="K10" s="179"/>
      <c r="L10" s="179">
        <f>J10-I10</f>
        <v>-0.53062199969986068</v>
      </c>
      <c r="M10" s="179"/>
      <c r="N10" s="179"/>
      <c r="O10" s="179"/>
    </row>
    <row r="11" spans="1:21" x14ac:dyDescent="0.15">
      <c r="A11" s="65"/>
      <c r="B11" s="65"/>
      <c r="C11" s="65"/>
      <c r="D11" s="65"/>
      <c r="E11" s="65"/>
      <c r="F11" s="65"/>
      <c r="G11" s="65"/>
      <c r="H11" s="65"/>
      <c r="I11" s="179"/>
      <c r="J11" s="179"/>
      <c r="K11" s="179"/>
      <c r="L11" s="179"/>
      <c r="M11" s="179"/>
      <c r="N11" s="179"/>
      <c r="O11" s="179"/>
    </row>
    <row r="12" spans="1:21" x14ac:dyDescent="0.15">
      <c r="A12" s="65" t="s">
        <v>115</v>
      </c>
      <c r="B12" s="65"/>
      <c r="C12" s="65">
        <f>-117.805</f>
        <v>-117.80500000000001</v>
      </c>
      <c r="D12" s="65"/>
      <c r="E12" s="65"/>
      <c r="F12" s="65">
        <f>-117.729</f>
        <v>-117.729</v>
      </c>
      <c r="G12" s="65"/>
      <c r="H12" s="65"/>
      <c r="I12" s="179">
        <f>C12*13.6056923</f>
        <v>-1602.8185814015001</v>
      </c>
      <c r="J12" s="179">
        <f>F12*13.6056923</f>
        <v>-1601.7845487866998</v>
      </c>
      <c r="K12" s="179"/>
      <c r="L12" s="179">
        <f>J12-I12</f>
        <v>1.0340326148002532</v>
      </c>
      <c r="M12" s="179"/>
      <c r="N12" s="179"/>
      <c r="O12" s="179"/>
    </row>
    <row r="13" spans="1:21" x14ac:dyDescent="0.15">
      <c r="A13" s="65"/>
      <c r="B13" s="65"/>
      <c r="C13" s="65"/>
      <c r="D13" s="65"/>
      <c r="E13" s="65"/>
      <c r="F13" s="65"/>
      <c r="G13" s="65"/>
      <c r="H13" s="65"/>
      <c r="I13" s="179"/>
      <c r="J13" s="179"/>
      <c r="K13" s="179"/>
      <c r="L13" s="179"/>
      <c r="M13" s="179"/>
      <c r="N13" s="179"/>
      <c r="O13" s="179"/>
    </row>
    <row r="14" spans="1:21" x14ac:dyDescent="0.15">
      <c r="A14" s="65" t="s">
        <v>116</v>
      </c>
      <c r="B14" s="65"/>
      <c r="C14" s="65">
        <f>-11.954</f>
        <v>-11.954000000000001</v>
      </c>
      <c r="D14" s="65"/>
      <c r="E14" s="65"/>
      <c r="F14" s="65">
        <f>-11.974</f>
        <v>-11.974</v>
      </c>
      <c r="G14" s="65"/>
      <c r="H14" s="65"/>
      <c r="I14" s="179">
        <f>C14*13.6056923</f>
        <v>-162.6424457542</v>
      </c>
      <c r="J14" s="179">
        <f>F14*13.6056923</f>
        <v>-162.91455960019999</v>
      </c>
      <c r="K14" s="179"/>
      <c r="L14" s="182">
        <f>J14-I14</f>
        <v>-0.27211384599999633</v>
      </c>
      <c r="M14" s="182"/>
      <c r="N14" s="179"/>
      <c r="O14" s="179"/>
    </row>
    <row r="15" spans="1:21" x14ac:dyDescent="0.15">
      <c r="A15" s="65"/>
      <c r="B15" s="65"/>
      <c r="C15" s="65"/>
      <c r="D15" s="65"/>
      <c r="E15" s="65"/>
      <c r="F15" s="65"/>
      <c r="G15" s="65"/>
      <c r="H15" s="65"/>
      <c r="I15" s="179"/>
      <c r="J15" s="179"/>
      <c r="K15" s="179"/>
      <c r="L15" s="182"/>
      <c r="M15" s="182"/>
      <c r="N15" s="179"/>
      <c r="O15" s="179"/>
    </row>
    <row r="16" spans="1:21" x14ac:dyDescent="0.15">
      <c r="A16" s="65" t="s">
        <v>117</v>
      </c>
      <c r="B16" s="65"/>
      <c r="C16" s="65">
        <f>-40.382</f>
        <v>-40.381999999999998</v>
      </c>
      <c r="D16" s="65"/>
      <c r="E16" s="65"/>
      <c r="F16" s="65">
        <f>-40.404</f>
        <v>-40.404000000000003</v>
      </c>
      <c r="G16" s="65"/>
      <c r="H16" s="65"/>
      <c r="I16" s="179">
        <f>C16*13.6056923</f>
        <v>-549.42506645859999</v>
      </c>
      <c r="J16" s="179">
        <f>F16*13.6056923</f>
        <v>-549.72439168920005</v>
      </c>
      <c r="K16" s="179"/>
      <c r="L16" s="182">
        <f>J16-I16</f>
        <v>-0.29932523060006133</v>
      </c>
      <c r="M16" s="182"/>
      <c r="N16" s="179"/>
      <c r="O16" s="179"/>
    </row>
    <row r="17" spans="1:15" x14ac:dyDescent="0.15">
      <c r="A17" s="65"/>
      <c r="B17" s="65"/>
      <c r="C17" s="65"/>
      <c r="D17" s="65"/>
      <c r="E17" s="65"/>
      <c r="F17" s="65"/>
      <c r="G17" s="65"/>
      <c r="H17" s="65"/>
      <c r="I17" s="179"/>
      <c r="J17" s="179"/>
      <c r="K17" s="179"/>
      <c r="L17" s="182"/>
      <c r="M17" s="182"/>
      <c r="N17" s="179"/>
      <c r="O17" s="179"/>
    </row>
    <row r="18" spans="1:15" x14ac:dyDescent="0.15">
      <c r="A18" s="65" t="s">
        <v>118</v>
      </c>
      <c r="B18" s="65"/>
      <c r="C18" s="65">
        <f>-2.332</f>
        <v>-2.3319999999999999</v>
      </c>
      <c r="D18" s="65"/>
      <c r="E18" s="65"/>
      <c r="F18" s="65">
        <f>-2.351</f>
        <v>-2.351</v>
      </c>
      <c r="G18" s="65"/>
      <c r="H18" s="65"/>
      <c r="I18" s="179">
        <f>C18*13.6056923</f>
        <v>-31.728474443599996</v>
      </c>
      <c r="J18" s="179">
        <f>F18*13.6056923</f>
        <v>-31.986982597299999</v>
      </c>
      <c r="K18" s="179"/>
      <c r="L18" s="179">
        <f>J18-I18</f>
        <v>-0.25850815370000291</v>
      </c>
      <c r="M18" s="179"/>
      <c r="N18" s="179"/>
      <c r="O18" s="179"/>
    </row>
    <row r="19" spans="1:15" x14ac:dyDescent="0.15">
      <c r="A19" s="65"/>
      <c r="B19" s="65"/>
      <c r="C19" s="65"/>
      <c r="D19" s="65"/>
      <c r="E19" s="65"/>
      <c r="F19" s="65"/>
      <c r="G19" s="65"/>
      <c r="H19" s="65"/>
      <c r="I19" s="179"/>
      <c r="J19" s="179"/>
      <c r="K19" s="179"/>
      <c r="L19" s="179"/>
      <c r="M19" s="179"/>
      <c r="N19" s="179"/>
      <c r="O19" s="179"/>
    </row>
    <row r="20" spans="1:15" x14ac:dyDescent="0.15">
      <c r="A20" s="65" t="s">
        <v>104</v>
      </c>
      <c r="B20" s="65"/>
      <c r="C20" s="180" t="s">
        <v>119</v>
      </c>
      <c r="D20" s="180"/>
      <c r="E20" s="180"/>
      <c r="F20" s="180" t="s">
        <v>120</v>
      </c>
      <c r="G20" s="180"/>
      <c r="H20" s="180"/>
      <c r="I20" s="183"/>
      <c r="J20" s="183"/>
      <c r="K20" s="183"/>
      <c r="L20" s="179"/>
      <c r="M20" s="179"/>
    </row>
    <row r="21" spans="1:15" x14ac:dyDescent="0.15">
      <c r="A21" s="65"/>
      <c r="B21" s="65"/>
      <c r="C21" s="180"/>
      <c r="D21" s="180"/>
      <c r="E21" s="180"/>
      <c r="F21" s="180"/>
      <c r="G21" s="180"/>
      <c r="H21" s="180"/>
      <c r="I21" s="183"/>
      <c r="J21" s="183"/>
      <c r="K21" s="183"/>
      <c r="L21" s="179"/>
      <c r="M21" s="179"/>
    </row>
    <row r="22" spans="1:15" x14ac:dyDescent="0.15">
      <c r="A22" s="65" t="s">
        <v>10</v>
      </c>
      <c r="B22" s="65"/>
      <c r="C22" s="65">
        <f>-5.49</f>
        <v>-5.49</v>
      </c>
      <c r="D22" s="65"/>
      <c r="E22" s="65"/>
      <c r="F22" s="65">
        <f>-5.86</f>
        <v>-5.86</v>
      </c>
      <c r="G22" s="65"/>
      <c r="H22" s="65"/>
      <c r="I22" s="183">
        <f>I4-I14-3*I18-0.5*I16-I10-1.5*I12</f>
        <v>-5.5171082276501693</v>
      </c>
      <c r="J22" s="183">
        <f>J4-J14-3*J18-0.5*J16-J10-1.5*J12</f>
        <v>-5.8708562274496217</v>
      </c>
      <c r="K22" s="183"/>
      <c r="L22" s="179">
        <f>J22-I22</f>
        <v>-0.35374799979945237</v>
      </c>
      <c r="M22" s="179"/>
    </row>
    <row r="23" spans="1:15" x14ac:dyDescent="0.15">
      <c r="A23" s="65"/>
      <c r="B23" s="65"/>
      <c r="C23" s="65"/>
      <c r="D23" s="65"/>
      <c r="E23" s="65"/>
      <c r="F23" s="65"/>
      <c r="G23" s="65"/>
      <c r="H23" s="65"/>
      <c r="I23" s="183"/>
      <c r="J23" s="183"/>
      <c r="K23" s="183"/>
      <c r="L23" s="179"/>
      <c r="M23" s="179"/>
    </row>
    <row r="24" spans="1:15" x14ac:dyDescent="0.15">
      <c r="A24" s="65" t="s">
        <v>14</v>
      </c>
      <c r="B24" s="65"/>
      <c r="C24" s="65">
        <f>-2.39</f>
        <v>-2.39</v>
      </c>
      <c r="D24" s="65"/>
      <c r="E24" s="65"/>
      <c r="F24" s="65">
        <f>-2.8</f>
        <v>-2.8</v>
      </c>
      <c r="G24" s="65"/>
      <c r="H24" s="65"/>
      <c r="I24" s="183">
        <f>(C6-C10-C12)*13.6056923</f>
        <v>-2.394601844799833</v>
      </c>
      <c r="J24" s="183">
        <f>(F6-F10-F12)*13.6056923</f>
        <v>-2.8027726138000415</v>
      </c>
      <c r="K24" s="183"/>
      <c r="L24" s="179">
        <f>J24-I24</f>
        <v>-0.40817076900020854</v>
      </c>
      <c r="M24" s="179"/>
    </row>
    <row r="25" spans="1:15" x14ac:dyDescent="0.15">
      <c r="A25" s="65"/>
      <c r="B25" s="65"/>
      <c r="C25" s="65"/>
      <c r="D25" s="65"/>
      <c r="E25" s="65"/>
      <c r="F25" s="65"/>
      <c r="G25" s="65"/>
      <c r="H25" s="65"/>
      <c r="I25" s="183"/>
      <c r="J25" s="183"/>
      <c r="K25" s="183"/>
      <c r="L25" s="179"/>
      <c r="M25" s="179"/>
    </row>
    <row r="26" spans="1:15" x14ac:dyDescent="0.15">
      <c r="A26" s="65" t="s">
        <v>15</v>
      </c>
      <c r="B26" s="65"/>
      <c r="C26" s="184">
        <f>-2.33</f>
        <v>-2.33</v>
      </c>
      <c r="D26" s="184"/>
      <c r="E26" s="184"/>
      <c r="F26" s="65">
        <f>-3.02</f>
        <v>-3.02</v>
      </c>
      <c r="G26" s="65"/>
      <c r="H26" s="65"/>
      <c r="I26" s="183">
        <f>I8-I14-3*I18-0.5*I16-0.5*I12</f>
        <v>-3.0272665367500622</v>
      </c>
      <c r="J26" s="183">
        <f>(F8-F14-0.5*F16-3*F18-0.5*F12)*13.6056923</f>
        <v>-3.0136608444499853</v>
      </c>
      <c r="K26" s="183"/>
      <c r="L26" s="179">
        <f>J26-I26</f>
        <v>1.360569230007691E-2</v>
      </c>
      <c r="M26" s="179"/>
    </row>
    <row r="27" spans="1:15" x14ac:dyDescent="0.15">
      <c r="A27" s="65"/>
      <c r="B27" s="65"/>
      <c r="C27" s="184"/>
      <c r="D27" s="184"/>
      <c r="E27" s="184"/>
      <c r="F27" s="65"/>
      <c r="G27" s="65"/>
      <c r="H27" s="65"/>
      <c r="I27" s="183"/>
      <c r="J27" s="183"/>
      <c r="K27" s="183"/>
      <c r="L27" s="179"/>
      <c r="M27" s="179"/>
    </row>
  </sheetData>
  <mergeCells count="90">
    <mergeCell ref="L26:M27"/>
    <mergeCell ref="A26:B27"/>
    <mergeCell ref="C26:E27"/>
    <mergeCell ref="F26:H27"/>
    <mergeCell ref="I26:I27"/>
    <mergeCell ref="J26:K27"/>
    <mergeCell ref="L22:M23"/>
    <mergeCell ref="A24:B25"/>
    <mergeCell ref="C24:E25"/>
    <mergeCell ref="F24:H25"/>
    <mergeCell ref="I24:I25"/>
    <mergeCell ref="J24:K25"/>
    <mergeCell ref="L24:M25"/>
    <mergeCell ref="A22:B23"/>
    <mergeCell ref="C22:E23"/>
    <mergeCell ref="F22:H23"/>
    <mergeCell ref="I22:I23"/>
    <mergeCell ref="J22:K23"/>
    <mergeCell ref="L18:M19"/>
    <mergeCell ref="N18:O19"/>
    <mergeCell ref="A20:B21"/>
    <mergeCell ref="C20:E21"/>
    <mergeCell ref="F20:H21"/>
    <mergeCell ref="I20:I21"/>
    <mergeCell ref="J20:K21"/>
    <mergeCell ref="L20:M21"/>
    <mergeCell ref="A18:B19"/>
    <mergeCell ref="C18:E19"/>
    <mergeCell ref="F18:H19"/>
    <mergeCell ref="I18:I19"/>
    <mergeCell ref="J18:K19"/>
    <mergeCell ref="L14:M15"/>
    <mergeCell ref="N14:O15"/>
    <mergeCell ref="A16:B17"/>
    <mergeCell ref="C16:E17"/>
    <mergeCell ref="F16:H17"/>
    <mergeCell ref="I16:I17"/>
    <mergeCell ref="J16:K17"/>
    <mergeCell ref="L16:M17"/>
    <mergeCell ref="N16:O17"/>
    <mergeCell ref="A14:B15"/>
    <mergeCell ref="C14:E15"/>
    <mergeCell ref="F14:H15"/>
    <mergeCell ref="I14:I15"/>
    <mergeCell ref="J14:K15"/>
    <mergeCell ref="L10:M11"/>
    <mergeCell ref="N10:O11"/>
    <mergeCell ref="A12:B13"/>
    <mergeCell ref="C12:E13"/>
    <mergeCell ref="F12:H13"/>
    <mergeCell ref="I12:I13"/>
    <mergeCell ref="J12:K13"/>
    <mergeCell ref="L12:M13"/>
    <mergeCell ref="N12:O13"/>
    <mergeCell ref="A10:B11"/>
    <mergeCell ref="C10:E11"/>
    <mergeCell ref="F10:H11"/>
    <mergeCell ref="I10:I11"/>
    <mergeCell ref="J10:K11"/>
    <mergeCell ref="L6:M7"/>
    <mergeCell ref="N6:O7"/>
    <mergeCell ref="A8:B9"/>
    <mergeCell ref="C8:E9"/>
    <mergeCell ref="F8:H9"/>
    <mergeCell ref="I8:I9"/>
    <mergeCell ref="J8:K9"/>
    <mergeCell ref="L8:M9"/>
    <mergeCell ref="N8:O9"/>
    <mergeCell ref="A6:B7"/>
    <mergeCell ref="C6:E7"/>
    <mergeCell ref="F6:H7"/>
    <mergeCell ref="I6:I7"/>
    <mergeCell ref="J6:K7"/>
    <mergeCell ref="L4:M5"/>
    <mergeCell ref="N4:O5"/>
    <mergeCell ref="R4:T4"/>
    <mergeCell ref="A1:B3"/>
    <mergeCell ref="C1:E3"/>
    <mergeCell ref="F1:H3"/>
    <mergeCell ref="I1:I3"/>
    <mergeCell ref="A4:B5"/>
    <mergeCell ref="C4:E5"/>
    <mergeCell ref="F4:H5"/>
    <mergeCell ref="I4:I5"/>
    <mergeCell ref="J4:K5"/>
    <mergeCell ref="J1:K3"/>
    <mergeCell ref="L1:M3"/>
    <mergeCell ref="N1:O3"/>
    <mergeCell ref="R1:T3"/>
    <mergeCell ref="U1:U3"/>
  </mergeCells>
  <phoneticPr fontId="27" type="noConversion"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Sheet11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Cafferry</cp:lastModifiedBy>
  <cp:revision>4</cp:revision>
  <dcterms:created xsi:type="dcterms:W3CDTF">2013-04-09T09:35:00Z</dcterms:created>
  <dcterms:modified xsi:type="dcterms:W3CDTF">2017-07-06T08:48:25Z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2052-10.1.0.6028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