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w\Desktop\MBD\charged\"/>
    </mc:Choice>
  </mc:AlternateContent>
  <bookViews>
    <workbookView xWindow="0" yWindow="0" windowWidth="20385" windowHeight="8955"/>
  </bookViews>
  <sheets>
    <sheet name="Sheet1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157" i="1" l="1"/>
  <c r="E153" i="1"/>
  <c r="B153" i="1"/>
  <c r="I149" i="1"/>
  <c r="E149" i="1"/>
  <c r="B149" i="1"/>
  <c r="L145" i="1"/>
  <c r="I145" i="1"/>
  <c r="E145" i="1"/>
  <c r="B145" i="1"/>
  <c r="L144" i="1"/>
  <c r="I144" i="1"/>
  <c r="E144" i="1"/>
  <c r="B144" i="1"/>
  <c r="B83" i="1" l="1"/>
  <c r="B53" i="1"/>
  <c r="A50" i="1"/>
  <c r="B50" i="1"/>
  <c r="A38" i="1"/>
  <c r="B38" i="1"/>
  <c r="A35" i="1"/>
  <c r="B35" i="1"/>
  <c r="A23" i="1"/>
  <c r="B23" i="1"/>
  <c r="C23" i="1"/>
  <c r="A20" i="1"/>
  <c r="B20" i="1"/>
  <c r="B8" i="1"/>
  <c r="A8" i="1"/>
  <c r="B5" i="1"/>
  <c r="A5" i="1"/>
  <c r="P23" i="1"/>
  <c r="O22" i="1"/>
  <c r="P22" i="1"/>
  <c r="P21" i="1"/>
  <c r="P19" i="1"/>
  <c r="O19" i="1"/>
  <c r="O2" i="1"/>
  <c r="P2" i="1"/>
  <c r="G97" i="1" l="1"/>
  <c r="G82" i="1"/>
  <c r="G67" i="1"/>
  <c r="G52" i="1"/>
  <c r="G37" i="1"/>
  <c r="G22" i="1"/>
  <c r="P4" i="1" l="1"/>
  <c r="P5" i="1" l="1"/>
  <c r="O4" i="1"/>
  <c r="P26" i="1" l="1"/>
  <c r="O26" i="1"/>
  <c r="O25" i="1"/>
  <c r="O24" i="1"/>
  <c r="O7" i="1"/>
  <c r="O6" i="1"/>
  <c r="O5" i="1"/>
  <c r="G7" i="1"/>
  <c r="J7" i="1"/>
  <c r="I67" i="1" l="1"/>
  <c r="Q2" i="1" l="1"/>
  <c r="L7" i="1"/>
  <c r="J88" i="1" l="1"/>
  <c r="G88" i="1"/>
  <c r="D88" i="1"/>
  <c r="A88" i="1"/>
  <c r="J85" i="1"/>
  <c r="G85" i="1"/>
  <c r="D85" i="1"/>
  <c r="A85" i="1"/>
  <c r="C83" i="1"/>
  <c r="K82" i="1"/>
  <c r="I82" i="1"/>
  <c r="H82" i="1"/>
  <c r="F82" i="1"/>
  <c r="C82" i="1"/>
  <c r="B82" i="1"/>
  <c r="A82" i="1"/>
  <c r="L79" i="1"/>
  <c r="K79" i="1"/>
  <c r="J79" i="1"/>
  <c r="I79" i="1"/>
  <c r="H79" i="1"/>
  <c r="G79" i="1"/>
  <c r="F79" i="1"/>
  <c r="E79" i="1"/>
  <c r="D79" i="1"/>
  <c r="C79" i="1"/>
  <c r="B79" i="1"/>
  <c r="A79" i="1"/>
  <c r="J76" i="1"/>
  <c r="D76" i="1"/>
  <c r="A76" i="1"/>
  <c r="I7" i="1" l="1"/>
  <c r="H7" i="1"/>
  <c r="A46" i="1" l="1"/>
  <c r="I52" i="1" l="1"/>
  <c r="H52" i="1"/>
  <c r="H67" i="1" l="1"/>
  <c r="I97" i="1" l="1"/>
  <c r="H97" i="1"/>
  <c r="A94" i="1"/>
  <c r="B94" i="1"/>
  <c r="C94" i="1"/>
  <c r="A97" i="1"/>
  <c r="B97" i="1"/>
  <c r="C97" i="1"/>
  <c r="F97" i="1"/>
  <c r="E97" i="1"/>
  <c r="D97" i="1"/>
  <c r="I37" i="1" l="1"/>
  <c r="H37" i="1"/>
  <c r="H22" i="1"/>
  <c r="Q4" i="1" l="1"/>
  <c r="Q7" i="1" l="1"/>
  <c r="P7" i="1"/>
  <c r="Q6" i="1"/>
  <c r="P6" i="1"/>
  <c r="P28" i="1" s="1"/>
  <c r="Q5" i="1"/>
  <c r="Q24" i="1"/>
  <c r="P24" i="1"/>
  <c r="Q26" i="1"/>
  <c r="Q25" i="1"/>
  <c r="P25" i="1"/>
  <c r="L22" i="1"/>
  <c r="L82" i="1" s="1"/>
  <c r="K7" i="1"/>
  <c r="K88" i="1" l="1"/>
  <c r="K22" i="1"/>
  <c r="P20" i="1"/>
  <c r="O20" i="1"/>
  <c r="R28" i="1" l="1"/>
  <c r="J22" i="1"/>
  <c r="J82" i="1" s="1"/>
  <c r="E37" i="1"/>
  <c r="F22" i="1"/>
  <c r="D22" i="1"/>
  <c r="D82" i="1" s="1"/>
  <c r="E22" i="1"/>
  <c r="E82" i="1" s="1"/>
  <c r="I22" i="1"/>
  <c r="P9" i="1" l="1"/>
  <c r="Q28" i="1"/>
  <c r="O21" i="1"/>
  <c r="O23" i="1" s="1"/>
  <c r="O9" i="1" s="1"/>
  <c r="O10" i="1" s="1"/>
  <c r="R2" i="1"/>
  <c r="F7" i="1"/>
  <c r="D7" i="1"/>
  <c r="D67" i="1" s="1"/>
  <c r="E7" i="1"/>
  <c r="H64" i="1" l="1"/>
  <c r="H49" i="1"/>
  <c r="D46" i="1" l="1"/>
  <c r="J46" i="1"/>
  <c r="A49" i="1"/>
  <c r="B49" i="1"/>
  <c r="C49" i="1"/>
  <c r="D49" i="1"/>
  <c r="E49" i="1"/>
  <c r="F49" i="1"/>
  <c r="G49" i="1"/>
  <c r="I49" i="1"/>
  <c r="J49" i="1"/>
  <c r="K49" i="1"/>
  <c r="L49" i="1"/>
  <c r="A52" i="1"/>
  <c r="B52" i="1"/>
  <c r="C52" i="1"/>
  <c r="D52" i="1"/>
  <c r="E52" i="1"/>
  <c r="F52" i="1"/>
  <c r="J52" i="1"/>
  <c r="K52" i="1"/>
  <c r="L52" i="1"/>
  <c r="A55" i="1"/>
  <c r="D55" i="1"/>
  <c r="G55" i="1"/>
  <c r="J55" i="1"/>
  <c r="A58" i="1"/>
  <c r="D58" i="1"/>
  <c r="G58" i="1"/>
  <c r="J58" i="1"/>
  <c r="A61" i="1" l="1"/>
  <c r="D61" i="1"/>
  <c r="J61" i="1"/>
  <c r="A64" i="1"/>
  <c r="B64" i="1"/>
  <c r="C64" i="1"/>
  <c r="D64" i="1"/>
  <c r="E64" i="1"/>
  <c r="F64" i="1"/>
  <c r="G64" i="1"/>
  <c r="I64" i="1"/>
  <c r="J64" i="1"/>
  <c r="K64" i="1"/>
  <c r="L64" i="1"/>
  <c r="A67" i="1"/>
  <c r="B67" i="1"/>
  <c r="C67" i="1"/>
  <c r="E67" i="1"/>
  <c r="F67" i="1"/>
  <c r="J67" i="1"/>
  <c r="K67" i="1"/>
  <c r="L67" i="1"/>
  <c r="L97" i="1" s="1"/>
  <c r="A70" i="1"/>
  <c r="D70" i="1"/>
  <c r="G70" i="1"/>
  <c r="J70" i="1"/>
  <c r="A73" i="1"/>
  <c r="D73" i="1"/>
  <c r="G73" i="1"/>
  <c r="J73" i="1"/>
  <c r="O64" i="1"/>
  <c r="J97" i="1" l="1"/>
  <c r="K97" i="1"/>
  <c r="F26" i="2"/>
  <c r="C26" i="2"/>
  <c r="F24" i="2"/>
  <c r="C24" i="2"/>
  <c r="F22" i="2"/>
  <c r="C22" i="2"/>
  <c r="J18" i="2"/>
  <c r="F18" i="2"/>
  <c r="C18" i="2"/>
  <c r="I18" i="2" s="1"/>
  <c r="F16" i="2"/>
  <c r="J16" i="2" s="1"/>
  <c r="C16" i="2"/>
  <c r="I16" i="2" s="1"/>
  <c r="F14" i="2"/>
  <c r="J14" i="2" s="1"/>
  <c r="C14" i="2"/>
  <c r="I14" i="2" s="1"/>
  <c r="J12" i="2"/>
  <c r="F12" i="2"/>
  <c r="C12" i="2"/>
  <c r="I12" i="2" s="1"/>
  <c r="J10" i="2"/>
  <c r="F10" i="2"/>
  <c r="C10" i="2"/>
  <c r="I10" i="2" s="1"/>
  <c r="F8" i="2"/>
  <c r="J26" i="2" s="1"/>
  <c r="C8" i="2"/>
  <c r="I8" i="2" s="1"/>
  <c r="F6" i="2"/>
  <c r="J24" i="2" s="1"/>
  <c r="C6" i="2"/>
  <c r="I24" i="2" s="1"/>
  <c r="J4" i="2"/>
  <c r="F4" i="2"/>
  <c r="C4" i="2"/>
  <c r="I4" i="2" s="1"/>
  <c r="I22" i="2" s="1"/>
  <c r="Q64" i="1"/>
  <c r="Q55" i="1"/>
  <c r="P55" i="1"/>
  <c r="S55" i="1" s="1"/>
  <c r="O55" i="1"/>
  <c r="Q54" i="1"/>
  <c r="P54" i="1"/>
  <c r="S54" i="1" s="1"/>
  <c r="O54" i="1"/>
  <c r="Q53" i="1"/>
  <c r="P53" i="1"/>
  <c r="S53" i="1" s="1"/>
  <c r="O53" i="1"/>
  <c r="Q50" i="1"/>
  <c r="P49" i="1"/>
  <c r="Q48" i="1"/>
  <c r="R44" i="1"/>
  <c r="Q44" i="1"/>
  <c r="P44" i="1"/>
  <c r="O44" i="1"/>
  <c r="Q43" i="1"/>
  <c r="Q46" i="1" s="1"/>
  <c r="P43" i="1"/>
  <c r="P46" i="1" s="1"/>
  <c r="S46" i="1" s="1"/>
  <c r="L37" i="1"/>
  <c r="J37" i="1"/>
  <c r="F37" i="1"/>
  <c r="D37" i="1"/>
  <c r="S36" i="1"/>
  <c r="R36" i="1"/>
  <c r="P35" i="1"/>
  <c r="S35" i="1" s="1"/>
  <c r="S34" i="1"/>
  <c r="R34" i="1"/>
  <c r="S33" i="1"/>
  <c r="O33" i="1"/>
  <c r="O48" i="1" s="1"/>
  <c r="S32" i="1"/>
  <c r="R32" i="1"/>
  <c r="P31" i="1"/>
  <c r="S31" i="1" s="1"/>
  <c r="O31" i="1"/>
  <c r="O50" i="1" s="1"/>
  <c r="S26" i="1"/>
  <c r="R26" i="1"/>
  <c r="S25" i="1"/>
  <c r="R25" i="1"/>
  <c r="R24" i="1"/>
  <c r="S24" i="1"/>
  <c r="U23" i="1"/>
  <c r="S18" i="1"/>
  <c r="Q18" i="1"/>
  <c r="P18" i="1"/>
  <c r="O18" i="1"/>
  <c r="R18" i="1" s="1"/>
  <c r="U17" i="1"/>
  <c r="U16" i="1"/>
  <c r="Q14" i="1"/>
  <c r="O14" i="1"/>
  <c r="Q20" i="1"/>
  <c r="R6" i="1"/>
  <c r="R5" i="1"/>
  <c r="Q19" i="1"/>
  <c r="O15" i="1"/>
  <c r="E13" i="1" s="1"/>
  <c r="U20" i="1"/>
  <c r="Q3" i="1"/>
  <c r="P3" i="1"/>
  <c r="O3" i="1"/>
  <c r="L4" i="2" l="1"/>
  <c r="L12" i="2"/>
  <c r="S43" i="1"/>
  <c r="L16" i="2"/>
  <c r="S3" i="1"/>
  <c r="R33" i="1"/>
  <c r="O43" i="1"/>
  <c r="O46" i="1" s="1"/>
  <c r="R46" i="1" s="1"/>
  <c r="L10" i="2"/>
  <c r="L14" i="2"/>
  <c r="L18" i="2"/>
  <c r="I26" i="2"/>
  <c r="L26" i="2" s="1"/>
  <c r="R3" i="1"/>
  <c r="R35" i="1"/>
  <c r="S44" i="1"/>
  <c r="R54" i="1"/>
  <c r="I6" i="2"/>
  <c r="O17" i="1"/>
  <c r="A83" i="1"/>
  <c r="E88" i="1" s="1"/>
  <c r="K28" i="1"/>
  <c r="A53" i="1"/>
  <c r="E58" i="1" s="1"/>
  <c r="A68" i="1"/>
  <c r="E73" i="1" s="1"/>
  <c r="U25" i="1"/>
  <c r="S2" i="1"/>
  <c r="S5" i="1"/>
  <c r="S6" i="1"/>
  <c r="K37" i="1"/>
  <c r="Q17" i="1"/>
  <c r="P50" i="1"/>
  <c r="R31" i="1"/>
  <c r="R53" i="1"/>
  <c r="R4" i="1"/>
  <c r="S7" i="1"/>
  <c r="P15" i="1"/>
  <c r="B68" i="1" s="1"/>
  <c r="H73" i="1" s="1"/>
  <c r="M73" i="1" s="1"/>
  <c r="Q49" i="1"/>
  <c r="S49" i="1" s="1"/>
  <c r="P14" i="1"/>
  <c r="S4" i="1"/>
  <c r="R7" i="1"/>
  <c r="R55" i="1"/>
  <c r="O49" i="1"/>
  <c r="O51" i="1" s="1"/>
  <c r="L24" i="2"/>
  <c r="J22" i="2"/>
  <c r="L22" i="2" s="1"/>
  <c r="Q15" i="1"/>
  <c r="C8" i="1" s="1"/>
  <c r="K13" i="1" s="1"/>
  <c r="Q21" i="1"/>
  <c r="P48" i="1"/>
  <c r="J6" i="2"/>
  <c r="L6" i="2" s="1"/>
  <c r="J8" i="2"/>
  <c r="L8" i="2" s="1"/>
  <c r="E28" i="1" l="1"/>
  <c r="R43" i="1"/>
  <c r="R49" i="1"/>
  <c r="C53" i="1"/>
  <c r="K58" i="1" s="1"/>
  <c r="C68" i="1"/>
  <c r="K73" i="1" s="1"/>
  <c r="H88" i="1"/>
  <c r="B88" i="1" s="1"/>
  <c r="M85" i="1" s="1"/>
  <c r="P17" i="1"/>
  <c r="R14" i="1"/>
  <c r="S14" i="1"/>
  <c r="O52" i="1"/>
  <c r="S20" i="1"/>
  <c r="R20" i="1"/>
  <c r="Q51" i="1"/>
  <c r="S21" i="1"/>
  <c r="R21" i="1"/>
  <c r="O8" i="1"/>
  <c r="O11" i="1" s="1"/>
  <c r="R50" i="1"/>
  <c r="S50" i="1"/>
  <c r="P52" i="1"/>
  <c r="P51" i="1"/>
  <c r="R48" i="1"/>
  <c r="S48" i="1"/>
  <c r="S19" i="1"/>
  <c r="R19" i="1"/>
  <c r="Q52" i="1"/>
  <c r="S15" i="1"/>
  <c r="R15" i="1"/>
  <c r="Q23" i="1"/>
  <c r="Q9" i="1" s="1"/>
  <c r="Q22" i="1"/>
  <c r="E25" i="1" l="1"/>
  <c r="A80" i="1"/>
  <c r="E85" i="1" s="1"/>
  <c r="H13" i="1"/>
  <c r="M13" i="1" s="1"/>
  <c r="E10" i="1"/>
  <c r="E55" i="1"/>
  <c r="M88" i="1"/>
  <c r="H28" i="1"/>
  <c r="O12" i="1"/>
  <c r="S52" i="1"/>
  <c r="P38" i="1"/>
  <c r="P39" i="1" s="1"/>
  <c r="P37" i="1"/>
  <c r="P40" i="1" s="1"/>
  <c r="R52" i="1"/>
  <c r="O16" i="1"/>
  <c r="O13" i="1"/>
  <c r="S51" i="1"/>
  <c r="R51" i="1"/>
  <c r="S22" i="1"/>
  <c r="R22" i="1"/>
  <c r="R17" i="1"/>
  <c r="S17" i="1"/>
  <c r="Q10" i="1"/>
  <c r="Q8" i="1"/>
  <c r="Q11" i="1" s="1"/>
  <c r="C20" i="1" s="1"/>
  <c r="C80" i="1" s="1"/>
  <c r="K85" i="1" s="1"/>
  <c r="Q38" i="1"/>
  <c r="Q39" i="1" s="1"/>
  <c r="Q37" i="1"/>
  <c r="Q40" i="1" s="1"/>
  <c r="S23" i="1"/>
  <c r="S9" i="1" s="1"/>
  <c r="S8" i="1" s="1"/>
  <c r="S11" i="1" s="1"/>
  <c r="R23" i="1"/>
  <c r="R9" i="1" s="1"/>
  <c r="R8" i="1" s="1"/>
  <c r="P8" i="1"/>
  <c r="O38" i="1"/>
  <c r="O39" i="1" s="1"/>
  <c r="O41" i="1" s="1"/>
  <c r="O37" i="1"/>
  <c r="O40" i="1" s="1"/>
  <c r="H58" i="1" l="1"/>
  <c r="M58" i="1" s="1"/>
  <c r="O74" i="1"/>
  <c r="T74" i="1" s="1"/>
  <c r="O89" i="1"/>
  <c r="B13" i="1"/>
  <c r="M10" i="1" s="1"/>
  <c r="E40" i="1"/>
  <c r="A95" i="1"/>
  <c r="E100" i="1" s="1"/>
  <c r="E43" i="1"/>
  <c r="A98" i="1"/>
  <c r="E103" i="1" s="1"/>
  <c r="P77" i="1"/>
  <c r="U77" i="1" s="1"/>
  <c r="M28" i="1"/>
  <c r="K25" i="1"/>
  <c r="B28" i="1"/>
  <c r="M25" i="1" s="1"/>
  <c r="P92" i="1"/>
  <c r="P80" i="1"/>
  <c r="U80" i="1" s="1"/>
  <c r="A65" i="1"/>
  <c r="E70" i="1" s="1"/>
  <c r="B73" i="1"/>
  <c r="M70" i="1" s="1"/>
  <c r="O86" i="1"/>
  <c r="B58" i="1"/>
  <c r="M55" i="1" s="1"/>
  <c r="Q42" i="1"/>
  <c r="Q45" i="1"/>
  <c r="O45" i="1"/>
  <c r="O42" i="1"/>
  <c r="C5" i="1"/>
  <c r="K10" i="1" s="1"/>
  <c r="Q12" i="1"/>
  <c r="C35" i="1" s="1"/>
  <c r="R39" i="1"/>
  <c r="P41" i="1"/>
  <c r="S38" i="1"/>
  <c r="S37" i="1"/>
  <c r="S40" i="1" s="1"/>
  <c r="P11" i="1"/>
  <c r="P10" i="1"/>
  <c r="S39" i="1"/>
  <c r="Q41" i="1"/>
  <c r="R38" i="1"/>
  <c r="R37" i="1"/>
  <c r="Q16" i="1"/>
  <c r="Q13" i="1"/>
  <c r="C38" i="1" s="1"/>
  <c r="P45" i="1"/>
  <c r="R40" i="1"/>
  <c r="P42" i="1"/>
  <c r="K43" i="1" l="1"/>
  <c r="C98" i="1"/>
  <c r="K103" i="1" s="1"/>
  <c r="K40" i="1"/>
  <c r="C95" i="1"/>
  <c r="K100" i="1" s="1"/>
  <c r="C50" i="1"/>
  <c r="K55" i="1" s="1"/>
  <c r="C65" i="1"/>
  <c r="K70" i="1" s="1"/>
  <c r="S10" i="1"/>
  <c r="B65" i="1"/>
  <c r="H70" i="1" s="1"/>
  <c r="M67" i="1" s="1"/>
  <c r="R45" i="1"/>
  <c r="S45" i="1"/>
  <c r="R10" i="1"/>
  <c r="H10" i="1"/>
  <c r="M7" i="1" s="1"/>
  <c r="P12" i="1"/>
  <c r="R41" i="1"/>
  <c r="S41" i="1"/>
  <c r="S42" i="1"/>
  <c r="R42" i="1"/>
  <c r="P16" i="1"/>
  <c r="R11" i="1"/>
  <c r="P13" i="1"/>
  <c r="H25" i="1" l="1"/>
  <c r="M22" i="1" s="1"/>
  <c r="B80" i="1"/>
  <c r="H85" i="1" s="1"/>
  <c r="B85" i="1" s="1"/>
  <c r="R16" i="1"/>
  <c r="S16" i="1"/>
  <c r="S13" i="1"/>
  <c r="R13" i="1"/>
  <c r="B95" i="1"/>
  <c r="H100" i="1" s="1"/>
  <c r="R12" i="1"/>
  <c r="S12" i="1"/>
  <c r="O92" i="1" l="1"/>
  <c r="Q92" i="1" s="1"/>
  <c r="M82" i="1"/>
  <c r="H55" i="1"/>
  <c r="M52" i="1" s="1"/>
  <c r="H43" i="1"/>
  <c r="M43" i="1" s="1"/>
  <c r="B98" i="1"/>
  <c r="H103" i="1" s="1"/>
  <c r="M97" i="1"/>
  <c r="B100" i="1"/>
  <c r="M94" i="1" s="1"/>
  <c r="H40" i="1"/>
  <c r="M37" i="1" s="1"/>
  <c r="P89" i="1"/>
  <c r="Q89" i="1" s="1"/>
  <c r="B10" i="1"/>
  <c r="M4" i="1" s="1"/>
  <c r="P74" i="1"/>
  <c r="Q74" i="1" s="1"/>
  <c r="B25" i="1"/>
  <c r="M19" i="1" s="1"/>
  <c r="M79" i="1"/>
  <c r="B70" i="1"/>
  <c r="M64" i="1" s="1"/>
  <c r="O77" i="1"/>
  <c r="T77" i="1" s="1"/>
  <c r="O80" i="1"/>
  <c r="T80" i="1" s="1"/>
  <c r="B55" i="1" l="1"/>
  <c r="M49" i="1" s="1"/>
  <c r="M103" i="1"/>
  <c r="B103" i="1"/>
  <c r="M100" i="1" s="1"/>
  <c r="P86" i="1"/>
  <c r="Q86" i="1" s="1"/>
  <c r="P83" i="1"/>
  <c r="U83" i="1" s="1"/>
  <c r="B40" i="1"/>
  <c r="M34" i="1" s="1"/>
  <c r="U74" i="1"/>
  <c r="Q77" i="1"/>
  <c r="Q80" i="1"/>
  <c r="O83" i="1"/>
  <c r="T83" i="1" s="1"/>
  <c r="B43" i="1"/>
  <c r="M40" i="1" s="1"/>
  <c r="Q83" i="1" l="1"/>
</calcChain>
</file>

<file path=xl/sharedStrings.xml><?xml version="1.0" encoding="utf-8"?>
<sst xmlns="http://schemas.openxmlformats.org/spreadsheetml/2006/main" count="282" uniqueCount="137">
  <si>
    <t>Pb(Bulk)</t>
  </si>
  <si>
    <t>MA(Four Molecule)</t>
  </si>
  <si>
    <t>SCS</t>
  </si>
  <si>
    <t>PBE</t>
  </si>
  <si>
    <t>TS</t>
  </si>
  <si>
    <t>PBE+SCS</t>
  </si>
  <si>
    <t>PBE+TS</t>
  </si>
  <si>
    <r>
      <rPr>
        <sz val="11"/>
        <color theme="1"/>
        <rFont val="宋体"/>
        <family val="3"/>
        <charset val="134"/>
      </rPr>
      <t>MAPbI</t>
    </r>
    <r>
      <rPr>
        <sz val="9"/>
        <color theme="1"/>
        <rFont val="宋体"/>
        <family val="3"/>
        <charset val="134"/>
      </rPr>
      <t>3</t>
    </r>
  </si>
  <si>
    <t>MA</t>
  </si>
  <si>
    <t>I</t>
  </si>
  <si>
    <t>Pb</t>
  </si>
  <si>
    <r>
      <rPr>
        <sz val="11"/>
        <color theme="1"/>
        <rFont val="宋体"/>
        <family val="3"/>
        <charset val="134"/>
      </rPr>
      <t>PbI</t>
    </r>
    <r>
      <rPr>
        <sz val="9"/>
        <color theme="1"/>
        <rFont val="宋体"/>
        <family val="3"/>
        <charset val="134"/>
      </rPr>
      <t>2</t>
    </r>
  </si>
  <si>
    <t>MAI</t>
  </si>
  <si>
    <t>SCS
Pb-poor</t>
  </si>
  <si>
    <t>PBE
Pb-poor</t>
  </si>
  <si>
    <t>TS
Pb-poor</t>
  </si>
  <si>
    <t>(Pb)p</t>
  </si>
  <si>
    <r>
      <rPr>
        <sz val="11"/>
        <color theme="1"/>
        <rFont val="宋体"/>
        <family val="3"/>
        <charset val="134"/>
      </rPr>
      <t>(I)p(PbI</t>
    </r>
    <r>
      <rPr>
        <sz val="10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</si>
  <si>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t>(MA)l</t>
  </si>
  <si>
    <t>PBE
Pb-rich</t>
  </si>
  <si>
    <t>TS
Pb-rich</t>
  </si>
  <si>
    <t>(MA)r</t>
  </si>
  <si>
    <t>(I)r(PbI2)</t>
  </si>
  <si>
    <t>(Pb)r</t>
  </si>
  <si>
    <t>I(Bulk)</t>
  </si>
  <si>
    <t>(I)p(MAI)</t>
  </si>
  <si>
    <t>(I)r(MAI)</t>
  </si>
  <si>
    <t>MAI(single Molecule)</t>
  </si>
  <si>
    <t>E(MAI)</t>
  </si>
  <si>
    <t>The total energy of H2</t>
  </si>
  <si>
    <t>SCS
I-poor</t>
  </si>
  <si>
    <t>PBE
I-poor</t>
  </si>
  <si>
    <t>TS
I-poor</t>
  </si>
  <si>
    <t>The total energy of C</t>
  </si>
  <si>
    <t>The total energy of N2</t>
  </si>
  <si>
    <t>PBE
I-rich</t>
  </si>
  <si>
    <t>TS
I-rich</t>
  </si>
  <si>
    <t>MA(One Molecule)</t>
  </si>
  <si>
    <t>MAPbI3</t>
  </si>
  <si>
    <t>PbI2</t>
  </si>
  <si>
    <t>Chemical elements</t>
  </si>
  <si>
    <t>Neutral 
Defect</t>
  </si>
  <si>
    <t>Vpb</t>
  </si>
  <si>
    <t>Vma</t>
  </si>
  <si>
    <t>3.6(4.22)</t>
  </si>
  <si>
    <t>0.19(0.9)</t>
  </si>
  <si>
    <t>Null</t>
  </si>
  <si>
    <t>System</t>
  </si>
  <si>
    <t>Etot(PBE)[Ry/formula]</t>
  </si>
  <si>
    <t>Etot(rev-vdw)[Ry/formula]</t>
  </si>
  <si>
    <t>Etot(PBE)
[eV/formula]</t>
  </si>
  <si>
    <t>Etot(rev-vdw)
[eV/formula}</t>
  </si>
  <si>
    <t>rev-vdw 
contribution</t>
  </si>
  <si>
    <t>QUANTUM-ESPRESSO</t>
  </si>
  <si>
    <r>
      <rPr>
        <sz val="11"/>
        <color theme="1"/>
        <rFont val="宋体"/>
        <family val="3"/>
        <charset val="134"/>
      </rPr>
      <t>MAPbI</t>
    </r>
    <r>
      <rPr>
        <sz val="9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(tetragonal phase)</t>
    </r>
  </si>
  <si>
    <r>
      <rPr>
        <sz val="11"/>
        <color theme="1"/>
        <rFont val="宋体"/>
        <family val="3"/>
        <charset val="134"/>
      </rPr>
      <t>PbI2(CdI</t>
    </r>
    <r>
      <rPr>
        <sz val="9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 structure,2Htype)</t>
    </r>
  </si>
  <si>
    <t>MAI(solid phase)</t>
  </si>
  <si>
    <t>Pb(metal.fcc lattice)</t>
  </si>
  <si>
    <t>I2(molecule)</t>
  </si>
  <si>
    <t>C(graphite,AB stack)</t>
  </si>
  <si>
    <t>N2(molecule)</t>
  </si>
  <si>
    <t>H2(molecule)</t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</si>
  <si>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Hform(PBE)[eV]</t>
    </r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</si>
  <si>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Hform(vdw-DF)[eV]</t>
    </r>
  </si>
  <si>
    <t>Formation Energy(PBESCS,PBE,PBESCS,PBE)</t>
    <phoneticPr fontId="7" type="noConversion"/>
  </si>
  <si>
    <t>Formation Energy(PBESCS,PBE,PBESCS,PBE)</t>
    <phoneticPr fontId="7" type="noConversion"/>
  </si>
  <si>
    <t>PBE</t>
    <phoneticPr fontId="7" type="noConversion"/>
  </si>
  <si>
    <t>E(Mai+1)</t>
    <phoneticPr fontId="7" type="noConversion"/>
  </si>
  <si>
    <t>E(Pbi_1)</t>
    <phoneticPr fontId="7" type="noConversion"/>
  </si>
  <si>
    <t>E(Ii+1)the most stable</t>
    <phoneticPr fontId="7" type="noConversion"/>
  </si>
  <si>
    <t>E(Pbip1)</t>
    <phoneticPr fontId="7" type="noConversion"/>
  </si>
  <si>
    <t>E(Pbip2)</t>
    <phoneticPr fontId="7" type="noConversion"/>
  </si>
  <si>
    <t>Molecule</t>
    <phoneticPr fontId="7" type="noConversion"/>
  </si>
  <si>
    <t>E(Mai+2)</t>
    <phoneticPr fontId="7" type="noConversion"/>
  </si>
  <si>
    <t>E(Ii_1)</t>
    <phoneticPr fontId="7" type="noConversion"/>
  </si>
  <si>
    <r>
      <t>μ</t>
    </r>
    <r>
      <rPr>
        <sz val="11"/>
        <color theme="1"/>
        <rFont val="宋体"/>
        <family val="3"/>
        <charset val="134"/>
        <scheme val="minor"/>
      </rPr>
      <t>pb(</t>
    </r>
    <r>
      <rPr>
        <sz val="11"/>
        <color rgb="FFFF0000"/>
        <rFont val="宋体"/>
        <family val="3"/>
        <charset val="134"/>
        <scheme val="minor"/>
      </rPr>
      <t>Pb-poor</t>
    </r>
    <r>
      <rPr>
        <sz val="11"/>
        <color theme="1"/>
        <rFont val="宋体"/>
        <family val="3"/>
        <charset val="134"/>
        <scheme val="minor"/>
      </rPr>
      <t>, Pb-rich)</t>
    </r>
  </si>
  <si>
    <r>
      <rPr>
        <sz val="11"/>
        <color theme="1"/>
        <rFont val="宋体"/>
        <family val="3"/>
        <charset val="134"/>
      </rPr>
      <t>E(MAPbI</t>
    </r>
    <r>
      <rPr>
        <sz val="8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)perfect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</si>
  <si>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I(I-poor)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</si>
  <si>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pb(Pb-poor)</t>
    </r>
  </si>
  <si>
    <r>
      <t>μ</t>
    </r>
    <r>
      <rPr>
        <sz val="11"/>
        <color theme="1"/>
        <rFont val="宋体"/>
        <family val="3"/>
        <charset val="134"/>
        <scheme val="minor"/>
      </rPr>
      <t>I(</t>
    </r>
    <r>
      <rPr>
        <sz val="11"/>
        <color rgb="FFFF0000"/>
        <rFont val="宋体"/>
        <family val="3"/>
        <charset val="134"/>
        <scheme val="minor"/>
      </rPr>
      <t>I-poor</t>
    </r>
    <r>
      <rPr>
        <sz val="11"/>
        <color theme="1"/>
        <rFont val="宋体"/>
        <family val="3"/>
        <charset val="134"/>
        <scheme val="minor"/>
      </rPr>
      <t>, I-rich)</t>
    </r>
  </si>
  <si>
    <r>
      <rPr>
        <sz val="11"/>
        <color theme="1"/>
        <rFont val="宋体"/>
        <family val="3"/>
        <charset val="134"/>
      </rPr>
      <t>E(PbI</t>
    </r>
    <r>
      <rPr>
        <sz val="8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</si>
  <si>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宋体"/>
        <family val="3"/>
        <charset val="134"/>
      </rPr>
      <t>E(MAPbI</t>
    </r>
    <r>
      <rPr>
        <sz val="8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</si>
  <si>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宋体"/>
        <family val="3"/>
        <charset val="134"/>
      </rPr>
      <t>Ethlapy(MAPbI</t>
    </r>
    <r>
      <rPr>
        <sz val="8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</si>
  <si>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宋体"/>
        <family val="3"/>
        <charset val="134"/>
      </rPr>
      <t>E(MAPbI</t>
    </r>
    <r>
      <rPr>
        <sz val="6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)-E(MAI)</t>
    </r>
  </si>
  <si>
    <r>
      <rPr>
        <sz val="11"/>
        <color theme="1"/>
        <rFont val="宋体"/>
        <family val="3"/>
        <charset val="134"/>
      </rPr>
      <t>μ</t>
    </r>
    <r>
      <rPr>
        <sz val="12"/>
        <color theme="1"/>
        <rFont val="宋体"/>
        <family val="3"/>
        <charset val="134"/>
      </rPr>
      <t>MA(</t>
    </r>
    <r>
      <rPr>
        <sz val="12"/>
        <color rgb="FFFF0000"/>
        <rFont val="宋体"/>
        <family val="3"/>
        <charset val="134"/>
      </rPr>
      <t>Pb-poor</t>
    </r>
    <r>
      <rPr>
        <sz val="12"/>
        <color theme="1"/>
        <rFont val="宋体"/>
        <family val="3"/>
        <charset val="134"/>
      </rPr>
      <t>, I-poor)</t>
    </r>
  </si>
  <si>
    <r>
      <rPr>
        <sz val="11"/>
        <color theme="1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</rPr>
      <t>*</t>
    </r>
    <r>
      <rPr>
        <sz val="11"/>
        <color theme="1"/>
        <rFont val="宋体"/>
        <family val="3"/>
        <charset val="134"/>
      </rPr>
      <t>I(I-poor)</t>
    </r>
  </si>
  <si>
    <r>
      <rPr>
        <sz val="11"/>
        <color theme="1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</rPr>
      <t>*</t>
    </r>
    <r>
      <rPr>
        <sz val="11"/>
        <color theme="1"/>
        <rFont val="宋体"/>
        <family val="3"/>
        <charset val="134"/>
      </rPr>
      <t>pb(Pb-poor)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</si>
  <si>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(Pb)p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</si>
  <si>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(I)p(PbI</t>
    </r>
    <r>
      <rPr>
        <sz val="10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</si>
  <si>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(MA)l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</si>
  <si>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(MA)r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</si>
  <si>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(I)r(PbI2)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</si>
  <si>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(Pb)r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</si>
  <si>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(I)p(MAI)</t>
    </r>
  </si>
  <si>
    <r>
      <rPr>
        <sz val="11"/>
        <color theme="1"/>
        <rFont val="宋体"/>
        <family val="1"/>
        <charset val="134"/>
        <scheme val="minor"/>
      </rPr>
      <t>μ</t>
    </r>
    <r>
      <rPr>
        <sz val="11"/>
        <color theme="1"/>
        <rFont val="宋体"/>
        <family val="3"/>
        <charset val="134"/>
        <scheme val="minor"/>
      </rPr>
      <t>(I)r(MAI)</t>
    </r>
  </si>
  <si>
    <r>
      <rPr>
        <sz val="11"/>
        <color theme="1"/>
        <rFont val="宋体"/>
        <family val="3"/>
        <charset val="134"/>
      </rPr>
      <t>E</t>
    </r>
    <r>
      <rPr>
        <i/>
        <sz val="10"/>
        <color theme="1"/>
        <rFont val="宋体"/>
        <family val="3"/>
        <charset val="134"/>
      </rPr>
      <t>f,</t>
    </r>
    <r>
      <rPr>
        <sz val="10"/>
        <color theme="1"/>
        <rFont val="宋体"/>
        <family val="3"/>
        <charset val="134"/>
      </rPr>
      <t>(eV)
I-poor
(Pb-rich)</t>
    </r>
  </si>
  <si>
    <r>
      <rPr>
        <sz val="11"/>
        <color theme="1"/>
        <rFont val="宋体"/>
        <family val="3"/>
        <charset val="134"/>
      </rPr>
      <t>E</t>
    </r>
    <r>
      <rPr>
        <i/>
        <sz val="10"/>
        <color theme="1"/>
        <rFont val="宋体"/>
        <family val="3"/>
        <charset val="134"/>
      </rPr>
      <t>f,</t>
    </r>
    <r>
      <rPr>
        <sz val="10"/>
        <color theme="1"/>
        <rFont val="宋体"/>
        <family val="3"/>
        <charset val="134"/>
      </rPr>
      <t>(eV)
I-rich
(Pb-poor)</t>
    </r>
  </si>
  <si>
    <r>
      <rPr>
        <sz val="11"/>
        <color theme="1"/>
        <rFont val="宋体"/>
        <family val="3"/>
        <charset val="134"/>
        <scheme val="minor"/>
      </rPr>
      <t>Δ</t>
    </r>
    <r>
      <rPr>
        <sz val="11"/>
        <color theme="1"/>
        <rFont val="宋体"/>
        <family val="3"/>
        <charset val="134"/>
        <scheme val="minor"/>
      </rPr>
      <t>E</t>
    </r>
    <r>
      <rPr>
        <sz val="9"/>
        <color theme="1"/>
        <rFont val="宋体"/>
        <family val="3"/>
        <charset val="134"/>
        <scheme val="minor"/>
      </rPr>
      <t>f(eV)
I-poor
(Pb-rich)</t>
    </r>
  </si>
  <si>
    <r>
      <rPr>
        <sz val="11"/>
        <color theme="1"/>
        <rFont val="宋体"/>
        <family val="3"/>
        <charset val="134"/>
        <scheme val="minor"/>
      </rPr>
      <t>Δ</t>
    </r>
    <r>
      <rPr>
        <sz val="11"/>
        <color theme="1"/>
        <rFont val="宋体"/>
        <family val="3"/>
        <charset val="134"/>
        <scheme val="minor"/>
      </rPr>
      <t>E</t>
    </r>
    <r>
      <rPr>
        <sz val="9"/>
        <color theme="1"/>
        <rFont val="宋体"/>
        <family val="3"/>
        <charset val="134"/>
        <scheme val="minor"/>
      </rPr>
      <t>f(eV)
I-rich
(Pb-poor)</t>
    </r>
  </si>
  <si>
    <r>
      <rPr>
        <sz val="11"/>
        <color theme="1"/>
        <rFont val="宋体"/>
        <family val="3"/>
        <charset val="134"/>
      </rPr>
      <t>V</t>
    </r>
    <r>
      <rPr>
        <sz val="8"/>
        <color theme="1"/>
        <rFont val="宋体"/>
        <family val="3"/>
        <charset val="134"/>
      </rPr>
      <t>I</t>
    </r>
    <r>
      <rPr>
        <sz val="10"/>
        <color theme="1"/>
        <rFont val="宋体"/>
        <family val="3"/>
        <charset val="134"/>
      </rPr>
      <t>(MAI)</t>
    </r>
  </si>
  <si>
    <r>
      <rPr>
        <sz val="11"/>
        <color theme="1"/>
        <rFont val="宋体"/>
        <family val="3"/>
        <charset val="134"/>
      </rPr>
      <t>V</t>
    </r>
    <r>
      <rPr>
        <sz val="8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(PbI</t>
    </r>
    <r>
      <rPr>
        <sz val="9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</si>
  <si>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宋体"/>
        <family val="3"/>
        <charset val="134"/>
      </rPr>
      <t>MA</t>
    </r>
    <r>
      <rPr>
        <sz val="8"/>
        <color theme="1"/>
        <rFont val="宋体"/>
        <family val="3"/>
        <charset val="134"/>
      </rPr>
      <t>i</t>
    </r>
  </si>
  <si>
    <r>
      <rPr>
        <sz val="11"/>
        <color theme="1"/>
        <rFont val="宋体"/>
        <family val="3"/>
        <charset val="134"/>
      </rPr>
      <t>Pb</t>
    </r>
    <r>
      <rPr>
        <sz val="9"/>
        <color theme="1"/>
        <rFont val="宋体"/>
        <family val="3"/>
        <charset val="134"/>
      </rPr>
      <t>i</t>
    </r>
  </si>
  <si>
    <r>
      <rPr>
        <sz val="11"/>
        <color theme="1"/>
        <rFont val="宋体"/>
        <family val="3"/>
        <charset val="134"/>
      </rPr>
      <t>I</t>
    </r>
    <r>
      <rPr>
        <sz val="9"/>
        <color theme="1"/>
        <rFont val="宋体"/>
        <family val="3"/>
        <charset val="134"/>
      </rPr>
      <t>i</t>
    </r>
  </si>
  <si>
    <r>
      <rPr>
        <sz val="11"/>
        <color theme="1"/>
        <rFont val="宋体"/>
        <family val="3"/>
        <charset val="134"/>
      </rPr>
      <t>Pb</t>
    </r>
    <r>
      <rPr>
        <sz val="9"/>
        <color theme="1"/>
        <rFont val="宋体"/>
        <family val="3"/>
        <charset val="134"/>
      </rPr>
      <t>I</t>
    </r>
  </si>
  <si>
    <r>
      <rPr>
        <sz val="11"/>
        <color theme="1"/>
        <rFont val="宋体"/>
        <family val="3"/>
        <charset val="134"/>
      </rPr>
      <t>I</t>
    </r>
    <r>
      <rPr>
        <sz val="8"/>
        <color theme="1"/>
        <rFont val="宋体"/>
        <family val="3"/>
        <charset val="134"/>
      </rPr>
      <t>Pb</t>
    </r>
  </si>
  <si>
    <r>
      <rPr>
        <sz val="11"/>
        <color theme="1"/>
        <rFont val="宋体"/>
        <family val="3"/>
        <charset val="134"/>
      </rPr>
      <t>Pb</t>
    </r>
    <r>
      <rPr>
        <sz val="8"/>
        <color theme="1"/>
        <rFont val="宋体"/>
        <family val="3"/>
        <charset val="134"/>
      </rPr>
      <t>MA</t>
    </r>
  </si>
  <si>
    <r>
      <rPr>
        <sz val="11"/>
        <color theme="1"/>
        <rFont val="宋体"/>
        <family val="3"/>
        <charset val="134"/>
      </rPr>
      <t>MA</t>
    </r>
    <r>
      <rPr>
        <sz val="8"/>
        <color theme="1"/>
        <rFont val="宋体"/>
        <family val="3"/>
        <charset val="134"/>
      </rPr>
      <t>Pb</t>
    </r>
  </si>
  <si>
    <r>
      <rPr>
        <sz val="11"/>
        <color theme="1"/>
        <rFont val="宋体"/>
        <family val="3"/>
        <charset val="134"/>
      </rPr>
      <t>MA</t>
    </r>
    <r>
      <rPr>
        <sz val="9"/>
        <color theme="1"/>
        <rFont val="宋体"/>
        <family val="3"/>
        <charset val="134"/>
      </rPr>
      <t>I</t>
    </r>
  </si>
  <si>
    <t>MBD</t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</si>
  <si>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phoneticPr fontId="7" type="noConversion"/>
  </si>
  <si>
    <t>PBE+MBD</t>
    <phoneticPr fontId="7" type="noConversion"/>
  </si>
  <si>
    <r>
      <t>M</t>
    </r>
    <r>
      <rPr>
        <sz val="11"/>
        <color rgb="FFFF0000"/>
        <rFont val="宋体"/>
        <family val="3"/>
        <charset val="134"/>
        <scheme val="minor"/>
      </rPr>
      <t>BD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</si>
  <si>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</si>
  <si>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Pb-rich</t>
    </r>
    <phoneticPr fontId="7" type="noConversion"/>
  </si>
  <si>
    <r>
      <t>MBD</t>
    </r>
    <r>
      <rPr>
        <sz val="11"/>
        <color theme="1"/>
        <rFont val="宋体"/>
        <family val="3"/>
        <charset val="134"/>
        <scheme val="minor"/>
      </rPr>
      <t xml:space="preserve">
Pb-poor</t>
    </r>
    <phoneticPr fontId="7" type="noConversion"/>
  </si>
  <si>
    <t>Ef(MBD+PBE)
Pb-poor</t>
    <phoneticPr fontId="7" type="noConversion"/>
  </si>
  <si>
    <t>Ef(MBD+PBE)
Pb-rich</t>
    <phoneticPr fontId="7" type="noConversion"/>
  </si>
  <si>
    <t>Ef(MBD+PBE)
I-poor</t>
    <phoneticPr fontId="7" type="noConversion"/>
  </si>
  <si>
    <t>Ef(MBD+PBE)
I-rich</t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</si>
  <si>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I-poor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</si>
  <si>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I-rich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</si>
  <si>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Pb-poor</t>
    </r>
    <phoneticPr fontId="7" type="noConversion"/>
  </si>
  <si>
    <t>Ef(MBD+PBE)
Pb-poor</t>
    <phoneticPr fontId="7" type="noConversion"/>
  </si>
  <si>
    <t>Ef(MBD+PBE)
I-poor</t>
    <phoneticPr fontId="7" type="noConversion"/>
  </si>
  <si>
    <t>PbI</t>
  </si>
  <si>
    <t>μpb(Pb-poor, Pb-rich)</t>
  </si>
  <si>
    <t>Ef(SCS+PBE)
Pb-poor</t>
  </si>
  <si>
    <t>Ef(SCS+PBE)
Pb-rich</t>
  </si>
  <si>
    <t>MBD</t>
  </si>
  <si>
    <t>Ef(SCS+PBE)
I-poor</t>
  </si>
  <si>
    <t>Ef(MBD+PBE)
Pb-poor</t>
  </si>
  <si>
    <t>Ef(MBD+PBE)
I-poor</t>
  </si>
  <si>
    <t>Ef(MBD+PBE)
Pb-rich</t>
  </si>
  <si>
    <t>μI(I-poor, I-rich)</t>
  </si>
  <si>
    <t>Ef(SCS+PBE)
I-rich</t>
  </si>
  <si>
    <t>Ef(MBD+PBE)
I-rich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</si>
</sst>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宋体"/>
      <family val="1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i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0" tint="-0.499984740745262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6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9" xfId="0" applyFont="1" applyFill="1" applyBorder="1">
      <alignment vertical="center"/>
    </xf>
    <xf numFmtId="0" fontId="20" fillId="10" borderId="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3" fillId="7" borderId="1" xfId="0" applyFont="1" applyFill="1" applyBorder="1">
      <alignment vertical="center"/>
    </xf>
    <xf numFmtId="0" fontId="18" fillId="7" borderId="1" xfId="0" applyFont="1" applyFill="1" applyBorder="1">
      <alignment vertical="center"/>
    </xf>
    <xf numFmtId="0" fontId="18" fillId="5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8" fillId="0" borderId="9" xfId="0" applyFont="1" applyFill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applyFont="1" applyBorder="1">
      <alignment vertical="center"/>
    </xf>
    <xf numFmtId="0" fontId="20" fillId="10" borderId="1" xfId="0" applyFont="1" applyFill="1" applyBorder="1">
      <alignment vertical="center"/>
    </xf>
    <xf numFmtId="0" fontId="12" fillId="8" borderId="1" xfId="0" applyFont="1" applyFill="1" applyBorder="1" applyAlignment="1">
      <alignment vertical="center"/>
    </xf>
    <xf numFmtId="0" fontId="19" fillId="0" borderId="1" xfId="0" applyFont="1" applyBorder="1">
      <alignment vertical="center"/>
    </xf>
    <xf numFmtId="0" fontId="27" fillId="8" borderId="1" xfId="0" applyFont="1" applyFill="1" applyBorder="1" applyAlignment="1">
      <alignment vertical="center"/>
    </xf>
    <xf numFmtId="0" fontId="18" fillId="9" borderId="1" xfId="0" applyFont="1" applyFill="1" applyBorder="1">
      <alignment vertical="center"/>
    </xf>
    <xf numFmtId="0" fontId="18" fillId="0" borderId="0" xfId="0" applyFont="1" applyFill="1" applyAlignment="1">
      <alignment vertical="center"/>
    </xf>
    <xf numFmtId="0" fontId="29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18" fillId="10" borderId="1" xfId="0" applyFont="1" applyFill="1" applyBorder="1">
      <alignment vertical="center"/>
    </xf>
    <xf numFmtId="0" fontId="18" fillId="10" borderId="1" xfId="0" applyFont="1" applyFill="1" applyBorder="1" applyAlignment="1">
      <alignment vertical="center"/>
    </xf>
    <xf numFmtId="0" fontId="18" fillId="10" borderId="9" xfId="0" applyFont="1" applyFill="1" applyBorder="1">
      <alignment vertical="center"/>
    </xf>
    <xf numFmtId="0" fontId="12" fillId="10" borderId="1" xfId="0" applyFont="1" applyFill="1" applyBorder="1">
      <alignment vertical="center"/>
    </xf>
    <xf numFmtId="0" fontId="33" fillId="10" borderId="1" xfId="0" applyFont="1" applyFill="1" applyBorder="1">
      <alignment vertical="center"/>
    </xf>
    <xf numFmtId="0" fontId="22" fillId="10" borderId="1" xfId="0" applyFont="1" applyFill="1" applyBorder="1">
      <alignment vertical="center"/>
    </xf>
    <xf numFmtId="0" fontId="12" fillId="10" borderId="1" xfId="0" applyFont="1" applyFill="1" applyBorder="1" applyAlignment="1">
      <alignment vertical="center"/>
    </xf>
    <xf numFmtId="0" fontId="27" fillId="1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0" fillId="5" borderId="29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6" fillId="5" borderId="11" xfId="0" applyFont="1" applyFill="1" applyBorder="1" applyAlignment="1">
      <alignment horizontal="center" vertical="center"/>
    </xf>
    <xf numFmtId="0" fontId="18" fillId="6" borderId="21" xfId="0" applyFont="1" applyFill="1" applyBorder="1">
      <alignment vertical="center"/>
    </xf>
    <xf numFmtId="0" fontId="18" fillId="6" borderId="9" xfId="0" applyFont="1" applyFill="1" applyBorder="1">
      <alignment vertical="center"/>
    </xf>
    <xf numFmtId="0" fontId="18" fillId="0" borderId="1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20" fillId="10" borderId="6" xfId="0" applyFont="1" applyFill="1" applyBorder="1" applyAlignment="1">
      <alignment horizontal="center" vertical="center"/>
    </xf>
    <xf numFmtId="0" fontId="21" fillId="10" borderId="6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vertical="center"/>
    </xf>
    <xf numFmtId="0" fontId="19" fillId="10" borderId="1" xfId="0" applyFont="1" applyFill="1" applyBorder="1">
      <alignment vertical="center"/>
    </xf>
    <xf numFmtId="0" fontId="17" fillId="1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>
      <alignment vertical="center"/>
    </xf>
    <xf numFmtId="0" fontId="10" fillId="11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2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10" borderId="2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19" fillId="10" borderId="25" xfId="0" applyFont="1" applyFill="1" applyBorder="1" applyAlignment="1">
      <alignment horizontal="center" vertical="center"/>
    </xf>
    <xf numFmtId="0" fontId="19" fillId="10" borderId="2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9" fillId="10" borderId="56" xfId="0" applyFont="1" applyFill="1" applyBorder="1" applyAlignment="1">
      <alignment horizontal="center" vertical="center"/>
    </xf>
    <xf numFmtId="0" fontId="19" fillId="10" borderId="52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47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8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0" borderId="51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 wrapText="1"/>
    </xf>
    <xf numFmtId="0" fontId="21" fillId="0" borderId="59" xfId="0" applyFont="1" applyFill="1" applyBorder="1" applyAlignment="1">
      <alignment horizontal="center" vertical="center" wrapText="1"/>
    </xf>
    <xf numFmtId="0" fontId="21" fillId="0" borderId="60" xfId="0" applyFont="1" applyFill="1" applyBorder="1" applyAlignment="1">
      <alignment horizontal="center" vertical="center" wrapText="1"/>
    </xf>
    <xf numFmtId="0" fontId="21" fillId="10" borderId="28" xfId="0" applyFont="1" applyFill="1" applyBorder="1" applyAlignment="1">
      <alignment horizontal="center" vertical="center"/>
    </xf>
    <xf numFmtId="0" fontId="21" fillId="10" borderId="56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4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1" borderId="54" xfId="0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 wrapText="1"/>
    </xf>
    <xf numFmtId="0" fontId="21" fillId="0" borderId="53" xfId="0" applyFont="1" applyFill="1" applyBorder="1" applyAlignment="1">
      <alignment horizontal="center" vertical="center" wrapText="1"/>
    </xf>
    <xf numFmtId="0" fontId="21" fillId="0" borderId="45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0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0" borderId="45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4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10" borderId="19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horizontal="center" vertical="center"/>
    </xf>
    <xf numFmtId="0" fontId="20" fillId="10" borderId="52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1" borderId="50" xfId="0" applyFont="1" applyFill="1" applyBorder="1" applyAlignment="1">
      <alignment horizontal="center" vertical="center"/>
    </xf>
    <xf numFmtId="0" fontId="12" fillId="11" borderId="5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/>
    </xf>
    <xf numFmtId="0" fontId="21" fillId="0" borderId="60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1" fillId="10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9</xdr:row>
      <xdr:rowOff>9525</xdr:rowOff>
    </xdr:from>
    <xdr:to>
      <xdr:col>19</xdr:col>
      <xdr:colOff>920750</xdr:colOff>
      <xdr:row>14</xdr:row>
      <xdr:rowOff>146685</xdr:rowOff>
    </xdr:to>
    <xdr:pic>
      <xdr:nvPicPr>
        <xdr:cNvPr id="3" name="图片 2" descr="QQ图片2016072710355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64300" y="1857375"/>
          <a:ext cx="911225" cy="101346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0</xdr:row>
      <xdr:rowOff>9525</xdr:rowOff>
    </xdr:from>
    <xdr:to>
      <xdr:col>26</xdr:col>
      <xdr:colOff>142240</xdr:colOff>
      <xdr:row>26</xdr:row>
      <xdr:rowOff>88265</xdr:rowOff>
    </xdr:to>
    <xdr:pic>
      <xdr:nvPicPr>
        <xdr:cNvPr id="4" name="图片 3" descr="QQ图片201608161019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64300" y="9525"/>
          <a:ext cx="7038340" cy="494601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33</xdr:row>
      <xdr:rowOff>9525</xdr:rowOff>
    </xdr:from>
    <xdr:to>
      <xdr:col>21</xdr:col>
      <xdr:colOff>172720</xdr:colOff>
      <xdr:row>42</xdr:row>
      <xdr:rowOff>20320</xdr:rowOff>
    </xdr:to>
    <xdr:pic>
      <xdr:nvPicPr>
        <xdr:cNvPr id="5" name="图片 4" descr="QQ图片2016081613234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4300" y="6276975"/>
          <a:ext cx="2258695" cy="168719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33</xdr:row>
      <xdr:rowOff>9525</xdr:rowOff>
    </xdr:from>
    <xdr:to>
      <xdr:col>23</xdr:col>
      <xdr:colOff>345440</xdr:colOff>
      <xdr:row>42</xdr:row>
      <xdr:rowOff>46355</xdr:rowOff>
    </xdr:to>
    <xdr:pic>
      <xdr:nvPicPr>
        <xdr:cNvPr id="6" name="图片 5" descr="QQ图片201608161325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21825" y="6276975"/>
          <a:ext cx="1297940" cy="171323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44</xdr:row>
      <xdr:rowOff>9525</xdr:rowOff>
    </xdr:from>
    <xdr:to>
      <xdr:col>21</xdr:col>
      <xdr:colOff>123825</xdr:colOff>
      <xdr:row>57</xdr:row>
      <xdr:rowOff>154940</xdr:rowOff>
    </xdr:to>
    <xdr:pic>
      <xdr:nvPicPr>
        <xdr:cNvPr id="7" name="图片 6" descr="QQ图片2016081613482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64300" y="8305800"/>
          <a:ext cx="2209800" cy="250761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44</xdr:row>
      <xdr:rowOff>9525</xdr:rowOff>
    </xdr:from>
    <xdr:to>
      <xdr:col>26</xdr:col>
      <xdr:colOff>561975</xdr:colOff>
      <xdr:row>49</xdr:row>
      <xdr:rowOff>133985</xdr:rowOff>
    </xdr:to>
    <xdr:pic>
      <xdr:nvPicPr>
        <xdr:cNvPr id="8" name="图片 7" descr="QQ图片2016081613492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21825" y="8305800"/>
          <a:ext cx="4400550" cy="105791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59</xdr:row>
      <xdr:rowOff>9525</xdr:rowOff>
    </xdr:from>
    <xdr:to>
      <xdr:col>21</xdr:col>
      <xdr:colOff>100965</xdr:colOff>
      <xdr:row>69</xdr:row>
      <xdr:rowOff>110490</xdr:rowOff>
    </xdr:to>
    <xdr:pic>
      <xdr:nvPicPr>
        <xdr:cNvPr id="9" name="图片 8" descr="QQ图片2016081613565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64300" y="10963275"/>
          <a:ext cx="2186940" cy="214884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59</xdr:row>
      <xdr:rowOff>9525</xdr:rowOff>
    </xdr:from>
    <xdr:to>
      <xdr:col>26</xdr:col>
      <xdr:colOff>466725</xdr:colOff>
      <xdr:row>70</xdr:row>
      <xdr:rowOff>186</xdr:rowOff>
    </xdr:to>
    <xdr:pic>
      <xdr:nvPicPr>
        <xdr:cNvPr id="10" name="图片 9" descr="QQ图片2016081613583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21825" y="10963275"/>
          <a:ext cx="4305300" cy="2216150"/>
        </a:xfrm>
        <a:prstGeom prst="rect">
          <a:avLst/>
        </a:prstGeom>
      </xdr:spPr>
    </xdr:pic>
    <xdr:clientData/>
  </xdr:twoCellAnchor>
  <xdr:twoCellAnchor editAs="oneCell">
    <xdr:from>
      <xdr:col>21</xdr:col>
      <xdr:colOff>337820</xdr:colOff>
      <xdr:row>71</xdr:row>
      <xdr:rowOff>89535</xdr:rowOff>
    </xdr:from>
    <xdr:to>
      <xdr:col>25</xdr:col>
      <xdr:colOff>367030</xdr:colOff>
      <xdr:row>83</xdr:row>
      <xdr:rowOff>162560</xdr:rowOff>
    </xdr:to>
    <xdr:pic>
      <xdr:nvPicPr>
        <xdr:cNvPr id="11" name="图片 10" descr="QQ图片2016081614073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88095" y="13405485"/>
          <a:ext cx="3877310" cy="2216150"/>
        </a:xfrm>
        <a:prstGeom prst="rect">
          <a:avLst/>
        </a:prstGeom>
      </xdr:spPr>
    </xdr:pic>
    <xdr:clientData/>
  </xdr:twoCellAnchor>
  <xdr:twoCellAnchor editAs="oneCell">
    <xdr:from>
      <xdr:col>21</xdr:col>
      <xdr:colOff>866775</xdr:colOff>
      <xdr:row>86</xdr:row>
      <xdr:rowOff>180975</xdr:rowOff>
    </xdr:from>
    <xdr:to>
      <xdr:col>27</xdr:col>
      <xdr:colOff>541655</xdr:colOff>
      <xdr:row>98</xdr:row>
      <xdr:rowOff>7433</xdr:rowOff>
    </xdr:to>
    <xdr:pic>
      <xdr:nvPicPr>
        <xdr:cNvPr id="12" name="图片 11" descr="QQ图片201608161405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59975" y="17325975"/>
          <a:ext cx="5123180" cy="2134870"/>
        </a:xfrm>
        <a:prstGeom prst="rect">
          <a:avLst/>
        </a:prstGeom>
      </xdr:spPr>
    </xdr:pic>
    <xdr:clientData/>
  </xdr:twoCellAnchor>
  <xdr:twoCellAnchor>
    <xdr:from>
      <xdr:col>16</xdr:col>
      <xdr:colOff>265430</xdr:colOff>
      <xdr:row>70</xdr:row>
      <xdr:rowOff>125730</xdr:rowOff>
    </xdr:from>
    <xdr:to>
      <xdr:col>16</xdr:col>
      <xdr:colOff>587375</xdr:colOff>
      <xdr:row>72</xdr:row>
      <xdr:rowOff>67310</xdr:rowOff>
    </xdr:to>
    <xdr:sp macro="" textlink="">
      <xdr:nvSpPr>
        <xdr:cNvPr id="2" name="等腰三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181705" y="13270230"/>
          <a:ext cx="321945" cy="29400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13</xdr:col>
      <xdr:colOff>67235</xdr:colOff>
      <xdr:row>112</xdr:row>
      <xdr:rowOff>118238</xdr:rowOff>
    </xdr:from>
    <xdr:to>
      <xdr:col>19</xdr:col>
      <xdr:colOff>778804</xdr:colOff>
      <xdr:row>122</xdr:row>
      <xdr:rowOff>562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501D96A-7E5D-45D3-B414-4A4737A1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60941" y="20255209"/>
          <a:ext cx="7883334" cy="1563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abSelected="1" topLeftCell="A130" zoomScaleNormal="100" workbookViewId="0">
      <selection activeCell="E144" sqref="E144"/>
    </sheetView>
  </sheetViews>
  <sheetFormatPr defaultColWidth="9" defaultRowHeight="13.5" x14ac:dyDescent="0.15"/>
  <cols>
    <col min="1" max="2" width="13.75" style="5"/>
    <col min="3" max="3" width="12.625" style="5"/>
    <col min="4" max="4" width="11.5" style="5"/>
    <col min="5" max="5" width="13.75" style="5"/>
    <col min="6" max="6" width="12.625" style="5"/>
    <col min="7" max="7" width="9.375" style="5"/>
    <col min="8" max="8" width="13.75" style="5"/>
    <col min="9" max="9" width="9.375" style="5"/>
    <col min="10" max="10" width="11.125" style="5" customWidth="1"/>
    <col min="11" max="11" width="15.75" style="5" customWidth="1"/>
    <col min="12" max="12" width="11" style="5" customWidth="1"/>
    <col min="13" max="13" width="13.875" style="5" bestFit="1" customWidth="1"/>
    <col min="14" max="14" width="24" style="5" customWidth="1"/>
    <col min="15" max="16" width="13.75" style="5"/>
    <col min="17" max="17" width="15.375" style="5"/>
    <col min="18" max="18" width="14" style="5" customWidth="1"/>
    <col min="19" max="19" width="13.125" style="5" customWidth="1"/>
    <col min="20" max="21" width="13.75" style="5"/>
    <col min="22" max="26" width="12.625" style="5"/>
    <col min="27" max="16384" width="9" style="5"/>
  </cols>
  <sheetData>
    <row r="1" spans="1:21" ht="33.75" customHeight="1" x14ac:dyDescent="0.15">
      <c r="A1" s="63" t="s">
        <v>75</v>
      </c>
      <c r="B1" s="64"/>
      <c r="C1" s="64"/>
      <c r="D1" s="67" t="s">
        <v>0</v>
      </c>
      <c r="E1" s="68"/>
      <c r="F1" s="69"/>
      <c r="G1" s="67" t="s">
        <v>70</v>
      </c>
      <c r="H1" s="68"/>
      <c r="I1" s="69"/>
      <c r="J1" s="67" t="s">
        <v>76</v>
      </c>
      <c r="K1" s="68"/>
      <c r="L1" s="76"/>
      <c r="M1" s="264" t="s">
        <v>64</v>
      </c>
      <c r="N1" s="2" t="s">
        <v>72</v>
      </c>
      <c r="O1" s="3" t="s">
        <v>109</v>
      </c>
      <c r="P1" s="3" t="s">
        <v>3</v>
      </c>
      <c r="Q1" s="31" t="s">
        <v>4</v>
      </c>
      <c r="R1" s="4" t="s">
        <v>111</v>
      </c>
      <c r="S1" s="57" t="s">
        <v>6</v>
      </c>
    </row>
    <row r="2" spans="1:21" x14ac:dyDescent="0.15">
      <c r="A2" s="65"/>
      <c r="B2" s="66"/>
      <c r="C2" s="66"/>
      <c r="D2" s="70"/>
      <c r="E2" s="71"/>
      <c r="F2" s="72"/>
      <c r="G2" s="70"/>
      <c r="H2" s="71"/>
      <c r="I2" s="72"/>
      <c r="J2" s="70"/>
      <c r="K2" s="71"/>
      <c r="L2" s="77"/>
      <c r="M2" s="265"/>
      <c r="N2" s="6" t="s">
        <v>7</v>
      </c>
      <c r="O2" s="7">
        <f>J7/8</f>
        <v>-1.1175928074999999</v>
      </c>
      <c r="P2" s="8">
        <f>K7/8</f>
        <v>-1151699.69426674</v>
      </c>
      <c r="Q2" s="55">
        <f>L7/8</f>
        <v>-1.1022996897499999</v>
      </c>
      <c r="R2" s="9">
        <f>P2+O2</f>
        <v>-1151700.8118595474</v>
      </c>
      <c r="S2" s="56">
        <f>P2+Q2</f>
        <v>-1151700.7965664298</v>
      </c>
    </row>
    <row r="3" spans="1:21" ht="14.25" thickBot="1" x14ac:dyDescent="0.2">
      <c r="A3" s="65"/>
      <c r="B3" s="66"/>
      <c r="C3" s="66"/>
      <c r="D3" s="73"/>
      <c r="E3" s="74"/>
      <c r="F3" s="75"/>
      <c r="G3" s="73"/>
      <c r="H3" s="74"/>
      <c r="I3" s="75"/>
      <c r="J3" s="73"/>
      <c r="K3" s="74"/>
      <c r="L3" s="78"/>
      <c r="M3" s="266"/>
      <c r="N3" s="6" t="s">
        <v>8</v>
      </c>
      <c r="O3" s="10">
        <f>-0.23526/4</f>
        <v>-5.8814999999999999E-2</v>
      </c>
      <c r="P3" s="10">
        <f>-2083.746171277/4</f>
        <v>-520.93654281925001</v>
      </c>
      <c r="Q3" s="10">
        <f>-0.27457/4</f>
        <v>-6.8642499999999995E-2</v>
      </c>
      <c r="R3" s="10">
        <f>P3+O3</f>
        <v>-520.99535781924999</v>
      </c>
      <c r="S3" s="10">
        <f t="shared" ref="S3:S7" si="0">P3+Q3</f>
        <v>-521.00518531925002</v>
      </c>
    </row>
    <row r="4" spans="1:21" x14ac:dyDescent="0.15">
      <c r="A4" s="52" t="s">
        <v>112</v>
      </c>
      <c r="B4" s="12" t="s">
        <v>3</v>
      </c>
      <c r="C4" s="49" t="s">
        <v>4</v>
      </c>
      <c r="D4" s="190" t="s">
        <v>110</v>
      </c>
      <c r="E4" s="103" t="s">
        <v>3</v>
      </c>
      <c r="F4" s="106" t="s">
        <v>4</v>
      </c>
      <c r="G4" s="190" t="s">
        <v>110</v>
      </c>
      <c r="H4" s="103" t="s">
        <v>3</v>
      </c>
      <c r="I4" s="106" t="s">
        <v>4</v>
      </c>
      <c r="J4" s="190" t="s">
        <v>110</v>
      </c>
      <c r="K4" s="103" t="s">
        <v>3</v>
      </c>
      <c r="L4" s="100" t="s">
        <v>4</v>
      </c>
      <c r="M4" s="157">
        <f>B10+1.68514</f>
        <v>3.9480768851598573</v>
      </c>
      <c r="N4" s="6" t="s">
        <v>9</v>
      </c>
      <c r="O4" s="8">
        <f>-1.56143137/8</f>
        <v>-0.19517892125</v>
      </c>
      <c r="P4" s="8">
        <f>(-1549103.59057996-(-1.56143137))/8</f>
        <v>-193637.75364357376</v>
      </c>
      <c r="Q4" s="55">
        <f>-1.68831488/8</f>
        <v>-0.21103936000000001</v>
      </c>
      <c r="R4" s="8">
        <f t="shared" ref="R4:R11" si="1">P4+O4</f>
        <v>-193637.948822495</v>
      </c>
      <c r="S4" s="55">
        <f t="shared" si="0"/>
        <v>-193637.96468293376</v>
      </c>
    </row>
    <row r="5" spans="1:21" x14ac:dyDescent="0.15">
      <c r="A5" s="261">
        <f>O10</f>
        <v>-0.23084000499999993</v>
      </c>
      <c r="B5" s="256">
        <f>P10</f>
        <v>-568161.34678290912</v>
      </c>
      <c r="C5" s="234">
        <f>Q10</f>
        <v>-0.16990864924999999</v>
      </c>
      <c r="D5" s="149"/>
      <c r="E5" s="103"/>
      <c r="F5" s="106"/>
      <c r="G5" s="149"/>
      <c r="H5" s="103"/>
      <c r="I5" s="106"/>
      <c r="J5" s="149"/>
      <c r="K5" s="103"/>
      <c r="L5" s="100"/>
      <c r="M5" s="158"/>
      <c r="N5" s="6" t="s">
        <v>10</v>
      </c>
      <c r="O5" s="8">
        <f>-1.71835229/4</f>
        <v>-0.42958807249999997</v>
      </c>
      <c r="P5" s="51">
        <f>(-2272638.80953431-(-1.71835229))/4</f>
        <v>-568159.27279550501</v>
      </c>
      <c r="Q5" s="55">
        <f>-1.18182979/4</f>
        <v>-0.29545744750000003</v>
      </c>
      <c r="R5" s="8">
        <f t="shared" si="1"/>
        <v>-568159.70238357747</v>
      </c>
      <c r="S5" s="55">
        <f t="shared" si="0"/>
        <v>-568159.56825295254</v>
      </c>
    </row>
    <row r="6" spans="1:21" ht="14.25" thickBot="1" x14ac:dyDescent="0.2">
      <c r="A6" s="262"/>
      <c r="B6" s="257"/>
      <c r="C6" s="235"/>
      <c r="D6" s="149"/>
      <c r="E6" s="103"/>
      <c r="F6" s="106"/>
      <c r="G6" s="149"/>
      <c r="H6" s="103"/>
      <c r="I6" s="106"/>
      <c r="J6" s="149"/>
      <c r="K6" s="103"/>
      <c r="L6" s="100"/>
      <c r="M6" s="159"/>
      <c r="N6" s="6" t="s">
        <v>11</v>
      </c>
      <c r="O6" s="8">
        <f>-0.63868262</f>
        <v>-0.63868261999999998</v>
      </c>
      <c r="P6" s="51">
        <f>-955437.465764649-(-0.63868262)</f>
        <v>-955436.82708202896</v>
      </c>
      <c r="Q6" s="55">
        <f>-0.651085049</f>
        <v>-0.65108504899999997</v>
      </c>
      <c r="R6" s="8">
        <f t="shared" si="1"/>
        <v>-955437.46576464898</v>
      </c>
      <c r="S6" s="55">
        <f t="shared" si="0"/>
        <v>-955437.47816707799</v>
      </c>
    </row>
    <row r="7" spans="1:21" x14ac:dyDescent="0.15">
      <c r="A7" s="54" t="s">
        <v>113</v>
      </c>
      <c r="B7" s="14" t="s">
        <v>3</v>
      </c>
      <c r="C7" s="50" t="s">
        <v>4</v>
      </c>
      <c r="D7" s="149">
        <f>O5</f>
        <v>-0.42958807249999997</v>
      </c>
      <c r="E7" s="103">
        <f>P5</f>
        <v>-568159.27279550501</v>
      </c>
      <c r="F7" s="106">
        <f>Q5</f>
        <v>-0.29545744750000003</v>
      </c>
      <c r="G7" s="186">
        <f>-9.38279573</f>
        <v>-9.3827957299999998</v>
      </c>
      <c r="H7" s="104">
        <f>-9781759.99679241-(-9.38279573)</f>
        <v>-9781750.613996679</v>
      </c>
      <c r="I7" s="107">
        <f>-9.222121493</f>
        <v>-9.2221214929999995</v>
      </c>
      <c r="J7" s="186">
        <f>-8.94074246</f>
        <v>-8.9407424599999992</v>
      </c>
      <c r="K7" s="104">
        <f>-9213606.49487638-(-8.94074246)</f>
        <v>-9213597.55413392</v>
      </c>
      <c r="L7" s="101">
        <f>-8.818397518</f>
        <v>-8.8183975179999994</v>
      </c>
      <c r="M7" s="157">
        <f>H10+1.68514</f>
        <v>4.1592901501598583</v>
      </c>
      <c r="N7" s="6" t="s">
        <v>12</v>
      </c>
      <c r="O7" s="8">
        <f>-0.99278992/2</f>
        <v>-0.49639496</v>
      </c>
      <c r="P7" s="8">
        <f>(-392526.673183287-(-0.99278992))/2</f>
        <v>-196262.84019668351</v>
      </c>
      <c r="Q7" s="55">
        <f>-1.020624641/2</f>
        <v>-0.51031232049999997</v>
      </c>
      <c r="R7" s="9">
        <f t="shared" si="1"/>
        <v>-196263.33659164351</v>
      </c>
      <c r="S7" s="56">
        <f t="shared" si="0"/>
        <v>-196263.350509004</v>
      </c>
    </row>
    <row r="8" spans="1:21" ht="14.25" x14ac:dyDescent="0.15">
      <c r="A8" s="149">
        <f>O15</f>
        <v>-0.42958807249999997</v>
      </c>
      <c r="B8" s="103">
        <f>P15</f>
        <v>-568159.27279550501</v>
      </c>
      <c r="C8" s="106">
        <f>Q15</f>
        <v>-0.29545744750000003</v>
      </c>
      <c r="D8" s="149"/>
      <c r="E8" s="103"/>
      <c r="F8" s="106"/>
      <c r="G8" s="186"/>
      <c r="H8" s="104"/>
      <c r="I8" s="107"/>
      <c r="J8" s="186"/>
      <c r="K8" s="104"/>
      <c r="L8" s="101"/>
      <c r="M8" s="158"/>
      <c r="N8" s="15" t="s">
        <v>77</v>
      </c>
      <c r="O8" s="16">
        <f t="shared" ref="O8:S8" si="2">O9/2</f>
        <v>9.9374033750000021E-2</v>
      </c>
      <c r="P8" s="16">
        <f>P9/2</f>
        <v>-1.0369937020586804</v>
      </c>
      <c r="Q8" s="33">
        <f t="shared" si="2"/>
        <v>6.2774399125000019E-2</v>
      </c>
      <c r="R8" s="16">
        <f t="shared" si="2"/>
        <v>-0.93761966830868038</v>
      </c>
      <c r="S8" s="33">
        <f t="shared" si="2"/>
        <v>-0.97421930293368031</v>
      </c>
      <c r="T8" s="17">
        <v>-1.1100000000000001</v>
      </c>
    </row>
    <row r="9" spans="1:21" ht="15" thickBot="1" x14ac:dyDescent="0.2">
      <c r="A9" s="150"/>
      <c r="B9" s="145"/>
      <c r="C9" s="109"/>
      <c r="D9" s="150"/>
      <c r="E9" s="145"/>
      <c r="F9" s="109"/>
      <c r="G9" s="187"/>
      <c r="H9" s="105"/>
      <c r="I9" s="108"/>
      <c r="J9" s="187"/>
      <c r="K9" s="105"/>
      <c r="L9" s="102"/>
      <c r="M9" s="159"/>
      <c r="N9" s="15" t="s">
        <v>78</v>
      </c>
      <c r="O9" s="16">
        <f>O23</f>
        <v>0.19874806750000004</v>
      </c>
      <c r="P9" s="16">
        <f>P23</f>
        <v>-2.0739874041173607</v>
      </c>
      <c r="Q9" s="33">
        <f t="shared" ref="Q9:S9" si="3">Q23</f>
        <v>0.12554879825000004</v>
      </c>
      <c r="R9" s="16">
        <f t="shared" si="3"/>
        <v>-1.8752393366173608</v>
      </c>
      <c r="S9" s="33">
        <f t="shared" si="3"/>
        <v>-1.9484386058673606</v>
      </c>
      <c r="T9" s="17">
        <v>-2.2200000000000002</v>
      </c>
    </row>
    <row r="10" spans="1:21" x14ac:dyDescent="0.15">
      <c r="A10" s="246" t="s">
        <v>116</v>
      </c>
      <c r="B10" s="88">
        <f>E10+H10</f>
        <v>2.2629368851598572</v>
      </c>
      <c r="C10" s="89"/>
      <c r="D10" s="236" t="s">
        <v>115</v>
      </c>
      <c r="E10" s="88">
        <f>G7-J7-A5</f>
        <v>-0.21121326500000068</v>
      </c>
      <c r="F10" s="89"/>
      <c r="G10" s="151" t="s">
        <v>14</v>
      </c>
      <c r="H10" s="88">
        <f>H7-K7-B5+(1)*(-5.81277)</f>
        <v>2.4741501501598577</v>
      </c>
      <c r="I10" s="89"/>
      <c r="J10" s="191" t="s">
        <v>15</v>
      </c>
      <c r="K10" s="94">
        <f>I7-L7-C5</f>
        <v>-0.23381532575000014</v>
      </c>
      <c r="L10" s="95"/>
      <c r="M10" s="157">
        <f>B13+1.68514</f>
        <v>2.0728375485424966</v>
      </c>
      <c r="N10" s="18" t="s">
        <v>16</v>
      </c>
      <c r="O10" s="19">
        <f>O5+O9</f>
        <v>-0.23084000499999993</v>
      </c>
      <c r="P10" s="20">
        <f t="shared" ref="P10:Q10" si="4">P5+P9</f>
        <v>-568161.34678290912</v>
      </c>
      <c r="Q10" s="33">
        <f t="shared" si="4"/>
        <v>-0.16990864924999999</v>
      </c>
      <c r="R10" s="21">
        <f t="shared" si="1"/>
        <v>-568161.5776229141</v>
      </c>
      <c r="S10" s="35">
        <f>Q10+P10</f>
        <v>-568161.51669155841</v>
      </c>
    </row>
    <row r="11" spans="1:21" x14ac:dyDescent="0.15">
      <c r="A11" s="149"/>
      <c r="B11" s="90"/>
      <c r="C11" s="91"/>
      <c r="D11" s="103"/>
      <c r="E11" s="90"/>
      <c r="F11" s="91"/>
      <c r="G11" s="152"/>
      <c r="H11" s="90"/>
      <c r="I11" s="91"/>
      <c r="J11" s="106"/>
      <c r="K11" s="96"/>
      <c r="L11" s="97"/>
      <c r="M11" s="158"/>
      <c r="N11" s="18" t="s">
        <v>17</v>
      </c>
      <c r="O11" s="22">
        <f>O4+O8</f>
        <v>-9.5804887499999977E-2</v>
      </c>
      <c r="P11" s="23">
        <f>P4+P8</f>
        <v>-193638.79063727582</v>
      </c>
      <c r="Q11" s="38">
        <f t="shared" ref="Q11:S11" si="5">Q4+Q8</f>
        <v>-0.14826496087499999</v>
      </c>
      <c r="R11" s="21">
        <f t="shared" si="1"/>
        <v>-193638.88644216332</v>
      </c>
      <c r="S11" s="38">
        <f t="shared" si="5"/>
        <v>-193638.9389022367</v>
      </c>
    </row>
    <row r="12" spans="1:21" ht="14.25" thickBot="1" x14ac:dyDescent="0.2">
      <c r="A12" s="150"/>
      <c r="B12" s="92"/>
      <c r="C12" s="93"/>
      <c r="D12" s="145"/>
      <c r="E12" s="92"/>
      <c r="F12" s="93"/>
      <c r="G12" s="153"/>
      <c r="H12" s="92"/>
      <c r="I12" s="93"/>
      <c r="J12" s="109"/>
      <c r="K12" s="98"/>
      <c r="L12" s="99"/>
      <c r="M12" s="159"/>
      <c r="N12" s="18" t="s">
        <v>18</v>
      </c>
      <c r="O12" s="19">
        <f t="shared" ref="O12:Q12" si="6">O2-O10-3*O4</f>
        <v>-0.30121603875000003</v>
      </c>
      <c r="P12" s="20">
        <f t="shared" si="6"/>
        <v>-2625.0865531095769</v>
      </c>
      <c r="Q12" s="33">
        <f t="shared" si="6"/>
        <v>-0.29927296049999996</v>
      </c>
      <c r="R12" s="21">
        <f t="shared" ref="R12:R18" si="7">P12+O12</f>
        <v>-2625.3877691483272</v>
      </c>
      <c r="S12" s="33">
        <f t="shared" ref="S12:S18" si="8">P12+Q12</f>
        <v>-2625.3858260700767</v>
      </c>
    </row>
    <row r="13" spans="1:21" x14ac:dyDescent="0.15">
      <c r="A13" s="263" t="s">
        <v>117</v>
      </c>
      <c r="B13" s="88">
        <f>E13+H13</f>
        <v>0.38769754854249638</v>
      </c>
      <c r="C13" s="88"/>
      <c r="D13" s="236" t="s">
        <v>114</v>
      </c>
      <c r="E13" s="88">
        <f>G7-J7-A8</f>
        <v>-1.2465197500000635E-2</v>
      </c>
      <c r="F13" s="89"/>
      <c r="G13" s="212" t="s">
        <v>19</v>
      </c>
      <c r="H13" s="88">
        <f>H7-K7-B8+(1)*(-5.81277)</f>
        <v>0.40016274604249702</v>
      </c>
      <c r="I13" s="89"/>
      <c r="J13" s="191" t="s">
        <v>20</v>
      </c>
      <c r="K13" s="94">
        <f>I7-L7-C8</f>
        <v>-0.1082665275000001</v>
      </c>
      <c r="L13" s="95"/>
      <c r="M13" s="157">
        <f>H13+1.68514</f>
        <v>2.0853027460424971</v>
      </c>
      <c r="N13" s="18" t="s">
        <v>21</v>
      </c>
      <c r="O13" s="22">
        <f t="shared" ref="O13:Q13" si="9">O2-O5-3*O11</f>
        <v>-0.40059007250000001</v>
      </c>
      <c r="P13" s="23">
        <f t="shared" si="9"/>
        <v>-2624.0495594075182</v>
      </c>
      <c r="Q13" s="38">
        <f t="shared" si="9"/>
        <v>-0.3620473596249999</v>
      </c>
      <c r="R13" s="21">
        <f t="shared" si="7"/>
        <v>-2624.4501494800184</v>
      </c>
      <c r="S13" s="33">
        <f t="shared" si="8"/>
        <v>-2624.4116067671434</v>
      </c>
    </row>
    <row r="14" spans="1:21" x14ac:dyDescent="0.15">
      <c r="A14" s="210"/>
      <c r="B14" s="90"/>
      <c r="C14" s="90"/>
      <c r="D14" s="103"/>
      <c r="E14" s="90"/>
      <c r="F14" s="91"/>
      <c r="G14" s="103"/>
      <c r="H14" s="90"/>
      <c r="I14" s="91"/>
      <c r="J14" s="106"/>
      <c r="K14" s="96"/>
      <c r="L14" s="97"/>
      <c r="M14" s="158"/>
      <c r="N14" s="18" t="s">
        <v>22</v>
      </c>
      <c r="O14" s="19">
        <f t="shared" ref="O14:Q14" si="10">O4</f>
        <v>-0.19517892125</v>
      </c>
      <c r="P14" s="20">
        <f t="shared" si="10"/>
        <v>-193637.75364357376</v>
      </c>
      <c r="Q14" s="33">
        <f t="shared" si="10"/>
        <v>-0.21103936000000001</v>
      </c>
      <c r="R14" s="21">
        <f t="shared" si="7"/>
        <v>-193637.948822495</v>
      </c>
      <c r="S14" s="33">
        <f t="shared" si="8"/>
        <v>-193637.96468293376</v>
      </c>
    </row>
    <row r="15" spans="1:21" ht="14.25" thickBot="1" x14ac:dyDescent="0.2">
      <c r="A15" s="211"/>
      <c r="B15" s="92"/>
      <c r="C15" s="92"/>
      <c r="D15" s="145"/>
      <c r="E15" s="92"/>
      <c r="F15" s="93"/>
      <c r="G15" s="145"/>
      <c r="H15" s="92"/>
      <c r="I15" s="93"/>
      <c r="J15" s="109"/>
      <c r="K15" s="98"/>
      <c r="L15" s="99"/>
      <c r="M15" s="159"/>
      <c r="N15" s="18" t="s">
        <v>23</v>
      </c>
      <c r="O15" s="19">
        <f t="shared" ref="O15:Q15" si="11">O5</f>
        <v>-0.42958807249999997</v>
      </c>
      <c r="P15" s="20">
        <f t="shared" si="11"/>
        <v>-568159.27279550501</v>
      </c>
      <c r="Q15" s="33">
        <f t="shared" si="11"/>
        <v>-0.29545744750000003</v>
      </c>
      <c r="R15" s="21">
        <f t="shared" si="7"/>
        <v>-568159.70238357747</v>
      </c>
      <c r="S15" s="33">
        <f t="shared" si="8"/>
        <v>-568159.56825295254</v>
      </c>
    </row>
    <row r="16" spans="1:21" x14ac:dyDescent="0.15">
      <c r="A16" s="63" t="s">
        <v>79</v>
      </c>
      <c r="B16" s="64"/>
      <c r="C16" s="64"/>
      <c r="D16" s="67" t="s">
        <v>24</v>
      </c>
      <c r="E16" s="68"/>
      <c r="F16" s="69"/>
      <c r="G16" s="79" t="s">
        <v>69</v>
      </c>
      <c r="H16" s="80"/>
      <c r="I16" s="81"/>
      <c r="J16" s="67" t="s">
        <v>76</v>
      </c>
      <c r="K16" s="68"/>
      <c r="L16" s="76"/>
      <c r="M16" s="264" t="s">
        <v>65</v>
      </c>
      <c r="N16" s="18" t="s">
        <v>25</v>
      </c>
      <c r="O16" s="19">
        <f t="shared" ref="O16:Q16" si="12">O11</f>
        <v>-9.5804887499999977E-2</v>
      </c>
      <c r="P16" s="20">
        <f t="shared" si="12"/>
        <v>-193638.79063727582</v>
      </c>
      <c r="Q16" s="33">
        <f t="shared" si="12"/>
        <v>-0.14826496087499999</v>
      </c>
      <c r="R16" s="21">
        <f t="shared" si="7"/>
        <v>-193638.88644216332</v>
      </c>
      <c r="S16" s="33">
        <f t="shared" si="8"/>
        <v>-193638.9389022367</v>
      </c>
      <c r="U16" s="5">
        <f>-1674.566653606/2</f>
        <v>-837.28332680300002</v>
      </c>
    </row>
    <row r="17" spans="1:21" x14ac:dyDescent="0.15">
      <c r="A17" s="65"/>
      <c r="B17" s="66"/>
      <c r="C17" s="66"/>
      <c r="D17" s="70"/>
      <c r="E17" s="71"/>
      <c r="F17" s="72"/>
      <c r="G17" s="82"/>
      <c r="H17" s="83"/>
      <c r="I17" s="84"/>
      <c r="J17" s="70"/>
      <c r="K17" s="71"/>
      <c r="L17" s="77"/>
      <c r="M17" s="265"/>
      <c r="N17" s="18" t="s">
        <v>26</v>
      </c>
      <c r="O17" s="19">
        <f t="shared" ref="O17:Q17" si="13">O14</f>
        <v>-0.19517892125</v>
      </c>
      <c r="P17" s="20">
        <f t="shared" si="13"/>
        <v>-193637.75364357376</v>
      </c>
      <c r="Q17" s="33">
        <f t="shared" si="13"/>
        <v>-0.21103936000000001</v>
      </c>
      <c r="R17" s="21">
        <f t="shared" si="7"/>
        <v>-193637.948822495</v>
      </c>
      <c r="S17" s="33">
        <f t="shared" si="8"/>
        <v>-193637.96468293376</v>
      </c>
      <c r="U17" s="5">
        <f>-1674.579247676/2</f>
        <v>-837.28962383800001</v>
      </c>
    </row>
    <row r="18" spans="1:21" ht="14.25" thickBot="1" x14ac:dyDescent="0.2">
      <c r="A18" s="65"/>
      <c r="B18" s="66"/>
      <c r="C18" s="66"/>
      <c r="D18" s="73"/>
      <c r="E18" s="74"/>
      <c r="F18" s="75"/>
      <c r="G18" s="85"/>
      <c r="H18" s="86"/>
      <c r="I18" s="87"/>
      <c r="J18" s="73"/>
      <c r="K18" s="74"/>
      <c r="L18" s="78"/>
      <c r="M18" s="266"/>
      <c r="N18" s="20" t="s">
        <v>27</v>
      </c>
      <c r="O18" s="24">
        <f>-0.10408</f>
        <v>-0.10408000000000001</v>
      </c>
      <c r="P18" s="24">
        <f>-836.8169038613</f>
        <v>-836.81690386130003</v>
      </c>
      <c r="Q18" s="24">
        <f>-0.10961</f>
        <v>-0.10961</v>
      </c>
      <c r="R18" s="10">
        <f t="shared" si="7"/>
        <v>-836.92098386129999</v>
      </c>
      <c r="S18" s="10">
        <f t="shared" si="8"/>
        <v>-836.92651386130001</v>
      </c>
    </row>
    <row r="19" spans="1:21" x14ac:dyDescent="0.15">
      <c r="A19" s="52" t="s">
        <v>112</v>
      </c>
      <c r="B19" s="12" t="s">
        <v>3</v>
      </c>
      <c r="C19" s="49" t="s">
        <v>4</v>
      </c>
      <c r="D19" s="190" t="s">
        <v>110</v>
      </c>
      <c r="E19" s="103" t="s">
        <v>3</v>
      </c>
      <c r="F19" s="106" t="s">
        <v>4</v>
      </c>
      <c r="G19" s="190" t="s">
        <v>110</v>
      </c>
      <c r="H19" s="103" t="s">
        <v>66</v>
      </c>
      <c r="I19" s="106" t="s">
        <v>4</v>
      </c>
      <c r="J19" s="190" t="s">
        <v>110</v>
      </c>
      <c r="K19" s="103" t="s">
        <v>3</v>
      </c>
      <c r="L19" s="100" t="s">
        <v>4</v>
      </c>
      <c r="M19" s="157">
        <f>B25+1.68514</f>
        <v>3.1436724642617491</v>
      </c>
      <c r="N19" s="25" t="s">
        <v>80</v>
      </c>
      <c r="O19" s="7">
        <f>O6-O5-2*O4</f>
        <v>0.18126329499999999</v>
      </c>
      <c r="P19" s="26">
        <f>P6-P5-2*P4</f>
        <v>-2.0469993764418177</v>
      </c>
      <c r="Q19" s="56">
        <f t="shared" ref="Q19" si="14">Q6-Q5-2*Q4</f>
        <v>6.6451118500000073E-2</v>
      </c>
      <c r="R19" s="9">
        <f t="shared" ref="R19:R23" si="15">P19+O19</f>
        <v>-1.8657360814418178</v>
      </c>
      <c r="S19" s="56">
        <f t="shared" ref="S19:S23" si="16">P19+Q19</f>
        <v>-1.9805482579418177</v>
      </c>
    </row>
    <row r="20" spans="1:21" x14ac:dyDescent="0.15">
      <c r="A20" s="250">
        <f>O11</f>
        <v>-9.5804887499999977E-2</v>
      </c>
      <c r="B20" s="90">
        <f>P11</f>
        <v>-193638.79063727582</v>
      </c>
      <c r="C20" s="232">
        <f>Q11</f>
        <v>-0.14826496087499999</v>
      </c>
      <c r="D20" s="149"/>
      <c r="E20" s="103"/>
      <c r="F20" s="106"/>
      <c r="G20" s="149"/>
      <c r="H20" s="103"/>
      <c r="I20" s="106"/>
      <c r="J20" s="149"/>
      <c r="K20" s="103"/>
      <c r="L20" s="100"/>
      <c r="M20" s="158"/>
      <c r="N20" s="25" t="s">
        <v>28</v>
      </c>
      <c r="O20" s="7">
        <f>O7-O25-O26-6*O24-O4</f>
        <v>-0.14448749624999999</v>
      </c>
      <c r="P20" s="26">
        <f>P7-P25-P26-6*P24-P4</f>
        <v>-2.966635663760826</v>
      </c>
      <c r="Q20" s="56">
        <f t="shared" ref="Q20" si="17">Q7-Q25-Q26-6*Q24-Q4</f>
        <v>-0.15358456299999995</v>
      </c>
      <c r="R20" s="9">
        <f t="shared" si="15"/>
        <v>-3.111123160010826</v>
      </c>
      <c r="S20" s="56">
        <f t="shared" si="16"/>
        <v>-3.1202202267608259</v>
      </c>
      <c r="U20" s="5">
        <f>P7-P4</f>
        <v>-2625.0865531097515</v>
      </c>
    </row>
    <row r="21" spans="1:21" ht="14.25" thickBot="1" x14ac:dyDescent="0.2">
      <c r="A21" s="251"/>
      <c r="B21" s="92"/>
      <c r="C21" s="233"/>
      <c r="D21" s="150"/>
      <c r="E21" s="145"/>
      <c r="F21" s="109"/>
      <c r="G21" s="150"/>
      <c r="H21" s="145"/>
      <c r="I21" s="109"/>
      <c r="J21" s="150"/>
      <c r="K21" s="145"/>
      <c r="L21" s="135"/>
      <c r="M21" s="159"/>
      <c r="N21" s="25" t="s">
        <v>81</v>
      </c>
      <c r="O21" s="7">
        <f>O2-O25-6*O24-O26-O5-3*O4</f>
        <v>5.4260571250000056E-2</v>
      </c>
      <c r="P21" s="26">
        <f>P2-P25-6*P24-P26-P5-3*P4</f>
        <v>-5.0406230678781867</v>
      </c>
      <c r="Q21" s="56">
        <f t="shared" ref="Q21" si="18">Q2-Q25-6*Q24-Q26-Q5-3*Q4</f>
        <v>-2.8035764749999914E-2</v>
      </c>
      <c r="R21" s="9">
        <f t="shared" si="15"/>
        <v>-4.9863624966281863</v>
      </c>
      <c r="S21" s="56">
        <f t="shared" si="16"/>
        <v>-5.0686588326281869</v>
      </c>
    </row>
    <row r="22" spans="1:21" x14ac:dyDescent="0.15">
      <c r="A22" s="54" t="s">
        <v>113</v>
      </c>
      <c r="B22" s="14" t="s">
        <v>3</v>
      </c>
      <c r="C22" s="49" t="s">
        <v>4</v>
      </c>
      <c r="D22" s="210">
        <f>O4</f>
        <v>-0.19517892125</v>
      </c>
      <c r="E22" s="152">
        <f>P4</f>
        <v>-193637.75364357376</v>
      </c>
      <c r="F22" s="106">
        <f>Q4</f>
        <v>-0.21103936000000001</v>
      </c>
      <c r="G22" s="222">
        <f>-9.2782198</f>
        <v>-9.2782198000000005</v>
      </c>
      <c r="H22" s="206">
        <f>-9407238.15800608-(-9.2782198)</f>
        <v>-9407228.8797862791</v>
      </c>
      <c r="I22" s="107">
        <f>-9.099340523</f>
        <v>-9.0993405230000004</v>
      </c>
      <c r="J22" s="186">
        <f>J7</f>
        <v>-8.9407424599999992</v>
      </c>
      <c r="K22" s="186">
        <f>K7</f>
        <v>-9213597.55413392</v>
      </c>
      <c r="L22" s="101">
        <f>L7</f>
        <v>-8.8183975179999994</v>
      </c>
      <c r="M22" s="157">
        <f>H25+1.68514</f>
        <v>3.3853449167617504</v>
      </c>
      <c r="N22" s="27" t="s">
        <v>82</v>
      </c>
      <c r="O22" s="7">
        <f>O21-O20-O19</f>
        <v>1.7484772500000051E-2</v>
      </c>
      <c r="P22" s="26">
        <f>P21-P20-P19</f>
        <v>-2.698802767554298E-2</v>
      </c>
      <c r="Q22" s="56">
        <f t="shared" ref="Q22" si="19">Q21-Q20-Q19</f>
        <v>5.9097679749999965E-2</v>
      </c>
      <c r="R22" s="9">
        <f t="shared" si="15"/>
        <v>-9.5032551755429295E-3</v>
      </c>
      <c r="S22" s="56">
        <f t="shared" si="16"/>
        <v>3.2109652074456985E-2</v>
      </c>
    </row>
    <row r="23" spans="1:21" x14ac:dyDescent="0.15">
      <c r="A23" s="149">
        <f>O14</f>
        <v>-0.19517892125</v>
      </c>
      <c r="B23" s="103">
        <f>P14</f>
        <v>-193637.75364357376</v>
      </c>
      <c r="C23" s="232">
        <f>Q14</f>
        <v>-0.21103936000000001</v>
      </c>
      <c r="D23" s="210"/>
      <c r="E23" s="152"/>
      <c r="F23" s="106"/>
      <c r="G23" s="222"/>
      <c r="H23" s="206"/>
      <c r="I23" s="107"/>
      <c r="J23" s="186"/>
      <c r="K23" s="186"/>
      <c r="L23" s="101"/>
      <c r="M23" s="158"/>
      <c r="N23" s="27" t="s">
        <v>83</v>
      </c>
      <c r="O23" s="7">
        <f>O21-O20</f>
        <v>0.19874806750000004</v>
      </c>
      <c r="P23" s="26">
        <f>P21-P20</f>
        <v>-2.0739874041173607</v>
      </c>
      <c r="Q23" s="56">
        <f t="shared" ref="Q23" si="20">Q21-Q20</f>
        <v>0.12554879825000004</v>
      </c>
      <c r="R23" s="9">
        <f t="shared" si="15"/>
        <v>-1.8752393366173608</v>
      </c>
      <c r="S23" s="56">
        <f t="shared" si="16"/>
        <v>-1.9484386058673606</v>
      </c>
      <c r="U23" s="5">
        <f>-2083.446171277/4</f>
        <v>-520.86154281924996</v>
      </c>
    </row>
    <row r="24" spans="1:21" ht="14.25" thickBot="1" x14ac:dyDescent="0.2">
      <c r="A24" s="150"/>
      <c r="B24" s="145"/>
      <c r="C24" s="233"/>
      <c r="D24" s="211"/>
      <c r="E24" s="153"/>
      <c r="F24" s="109"/>
      <c r="G24" s="223"/>
      <c r="H24" s="207"/>
      <c r="I24" s="108"/>
      <c r="J24" s="187"/>
      <c r="K24" s="187"/>
      <c r="L24" s="102"/>
      <c r="M24" s="159"/>
      <c r="N24" s="28" t="s">
        <v>29</v>
      </c>
      <c r="O24" s="7">
        <f>-0.00220441/2</f>
        <v>-1.102205E-3</v>
      </c>
      <c r="P24" s="26">
        <f>(-31.750789918-(-0.00220441))/2</f>
        <v>-15.874292753999999</v>
      </c>
      <c r="Q24" s="56">
        <f>-0.000029319/2</f>
        <v>-1.4659500000000001E-5</v>
      </c>
      <c r="R24" s="9">
        <f t="shared" ref="R24:R26" si="21">P24+O24</f>
        <v>-15.875394958999999</v>
      </c>
      <c r="S24" s="56">
        <f t="shared" ref="S24:S26" si="22">P24+Q24</f>
        <v>-15.874307413499999</v>
      </c>
    </row>
    <row r="25" spans="1:21" x14ac:dyDescent="0.15">
      <c r="A25" s="246" t="s">
        <v>118</v>
      </c>
      <c r="B25" s="88">
        <f>E25+H25</f>
        <v>1.458532464261749</v>
      </c>
      <c r="C25" s="89"/>
      <c r="D25" s="236" t="s">
        <v>120</v>
      </c>
      <c r="E25" s="88">
        <f>G22-J22-A20</f>
        <v>-0.2416724525000013</v>
      </c>
      <c r="F25" s="89"/>
      <c r="G25" s="151" t="s">
        <v>31</v>
      </c>
      <c r="H25" s="204">
        <f>H22-K22-B20+(1)*(-5.76478)</f>
        <v>1.7002049167617503</v>
      </c>
      <c r="I25" s="205"/>
      <c r="J25" s="191" t="s">
        <v>32</v>
      </c>
      <c r="K25" s="94">
        <f>I22-L22-C20</f>
        <v>-0.13267804412500103</v>
      </c>
      <c r="L25" s="95"/>
      <c r="M25" s="157">
        <f>B28+1.68514</f>
        <v>2.2060527959530689</v>
      </c>
      <c r="N25" s="16" t="s">
        <v>33</v>
      </c>
      <c r="O25" s="7">
        <f>-0.59205467/4</f>
        <v>-0.1480136675</v>
      </c>
      <c r="P25" s="26">
        <f>(-4147.965051236-(-0.59205467))/4</f>
        <v>-1036.8432491415001</v>
      </c>
      <c r="Q25" s="56">
        <f>-0.581885934/4</f>
        <v>-0.1454714835</v>
      </c>
      <c r="R25" s="9">
        <f t="shared" si="21"/>
        <v>-1036.9912628090001</v>
      </c>
      <c r="S25" s="56">
        <f t="shared" si="22"/>
        <v>-1036.988720625</v>
      </c>
      <c r="U25" s="5">
        <f>P2-P7-P6</f>
        <v>-2.6988027500919998E-2</v>
      </c>
    </row>
    <row r="26" spans="1:21" x14ac:dyDescent="0.15">
      <c r="A26" s="149"/>
      <c r="B26" s="90"/>
      <c r="C26" s="91"/>
      <c r="D26" s="103"/>
      <c r="E26" s="90"/>
      <c r="F26" s="91"/>
      <c r="G26" s="152"/>
      <c r="H26" s="104"/>
      <c r="I26" s="206"/>
      <c r="J26" s="106"/>
      <c r="K26" s="96"/>
      <c r="L26" s="97"/>
      <c r="M26" s="158"/>
      <c r="N26" s="18" t="s">
        <v>34</v>
      </c>
      <c r="O26" s="7">
        <f>-0.00420329/2</f>
        <v>-2.1016450000000001E-3</v>
      </c>
      <c r="P26" s="26">
        <f>(-2980.066026851-(-0.00420329 ))/2</f>
        <v>-1490.0309117805</v>
      </c>
      <c r="Q26" s="56">
        <f>-0.000257914/2</f>
        <v>-1.2895699999999999E-4</v>
      </c>
      <c r="R26" s="9">
        <f t="shared" si="21"/>
        <v>-1490.0330134255</v>
      </c>
      <c r="S26" s="56">
        <f t="shared" si="22"/>
        <v>-1490.0310407375</v>
      </c>
    </row>
    <row r="27" spans="1:21" ht="14.25" thickBot="1" x14ac:dyDescent="0.2">
      <c r="A27" s="150"/>
      <c r="B27" s="92"/>
      <c r="C27" s="93"/>
      <c r="D27" s="145"/>
      <c r="E27" s="92"/>
      <c r="F27" s="93"/>
      <c r="G27" s="153"/>
      <c r="H27" s="105"/>
      <c r="I27" s="207"/>
      <c r="J27" s="109"/>
      <c r="K27" s="98"/>
      <c r="L27" s="99"/>
      <c r="M27" s="159"/>
      <c r="N27" s="29"/>
      <c r="O27" s="29"/>
      <c r="P27" s="29"/>
      <c r="Q27" s="29"/>
      <c r="R27" s="29"/>
      <c r="S27" s="29"/>
    </row>
    <row r="28" spans="1:21" x14ac:dyDescent="0.15">
      <c r="A28" s="263" t="s">
        <v>119</v>
      </c>
      <c r="B28" s="88">
        <f>E28+H28</f>
        <v>0.52091279595306872</v>
      </c>
      <c r="C28" s="88"/>
      <c r="D28" s="236" t="s">
        <v>121</v>
      </c>
      <c r="E28" s="88">
        <f>G22-J22-A23</f>
        <v>-0.14229841875000129</v>
      </c>
      <c r="F28" s="89"/>
      <c r="G28" s="212" t="s">
        <v>35</v>
      </c>
      <c r="H28" s="88">
        <f>H22-K22-B23+(1)*(-5.76478)</f>
        <v>0.66321121470306998</v>
      </c>
      <c r="I28" s="89"/>
      <c r="J28" s="191" t="s">
        <v>36</v>
      </c>
      <c r="K28" s="94">
        <f>I22-L22-F22</f>
        <v>-6.9903645000001013E-2</v>
      </c>
      <c r="L28" s="95"/>
      <c r="M28" s="157">
        <f>H28+1.68514</f>
        <v>2.3483512147030701</v>
      </c>
      <c r="N28" s="29"/>
      <c r="O28" s="29"/>
      <c r="P28" s="29">
        <f>P19/2</f>
        <v>-1.0234996882209089</v>
      </c>
      <c r="Q28" s="29">
        <f>P23/2</f>
        <v>-1.0369937020586804</v>
      </c>
      <c r="R28" s="29">
        <f>P21/3</f>
        <v>-1.6802076892927289</v>
      </c>
      <c r="S28" s="29"/>
    </row>
    <row r="29" spans="1:21" x14ac:dyDescent="0.15">
      <c r="A29" s="210"/>
      <c r="B29" s="90"/>
      <c r="C29" s="90"/>
      <c r="D29" s="103"/>
      <c r="E29" s="90"/>
      <c r="F29" s="91"/>
      <c r="G29" s="103"/>
      <c r="H29" s="90"/>
      <c r="I29" s="91"/>
      <c r="J29" s="106"/>
      <c r="K29" s="96"/>
      <c r="L29" s="97"/>
      <c r="M29" s="158"/>
      <c r="N29" s="29"/>
      <c r="O29" s="29"/>
      <c r="P29" s="29"/>
      <c r="Q29" s="29"/>
      <c r="R29" s="29"/>
      <c r="S29" s="29"/>
    </row>
    <row r="30" spans="1:21" ht="34.5" thickBot="1" x14ac:dyDescent="0.2">
      <c r="A30" s="249"/>
      <c r="B30" s="172"/>
      <c r="C30" s="172"/>
      <c r="D30" s="147"/>
      <c r="E30" s="172"/>
      <c r="F30" s="208"/>
      <c r="G30" s="147"/>
      <c r="H30" s="172"/>
      <c r="I30" s="208"/>
      <c r="J30" s="192"/>
      <c r="K30" s="168"/>
      <c r="L30" s="169"/>
      <c r="M30" s="159"/>
      <c r="N30" s="30" t="s">
        <v>37</v>
      </c>
      <c r="O30" s="31" t="s">
        <v>2</v>
      </c>
      <c r="P30" s="31" t="s">
        <v>3</v>
      </c>
      <c r="Q30" s="31" t="s">
        <v>4</v>
      </c>
      <c r="R30" s="32" t="s">
        <v>5</v>
      </c>
      <c r="S30" s="31" t="s">
        <v>6</v>
      </c>
    </row>
    <row r="31" spans="1:21" x14ac:dyDescent="0.15">
      <c r="A31" s="162" t="s">
        <v>84</v>
      </c>
      <c r="B31" s="163"/>
      <c r="C31" s="202"/>
      <c r="D31" s="162" t="s">
        <v>1</v>
      </c>
      <c r="E31" s="163"/>
      <c r="F31" s="202"/>
      <c r="G31" s="162" t="s">
        <v>67</v>
      </c>
      <c r="H31" s="163"/>
      <c r="I31" s="202"/>
      <c r="J31" s="162" t="s">
        <v>76</v>
      </c>
      <c r="K31" s="163"/>
      <c r="L31" s="164"/>
      <c r="M31" s="264" t="s">
        <v>65</v>
      </c>
      <c r="N31" s="33" t="s">
        <v>38</v>
      </c>
      <c r="O31" s="33">
        <f>-9.00413/8</f>
        <v>-1.12551625</v>
      </c>
      <c r="P31" s="34">
        <f>-25001.06843655/8</f>
        <v>-3125.1335545687498</v>
      </c>
      <c r="Q31" s="34">
        <v>-1.0829599999999999</v>
      </c>
      <c r="R31" s="35">
        <f t="shared" ref="R31:R36" si="23">P31+O31</f>
        <v>-3126.2590708187499</v>
      </c>
      <c r="S31" s="33">
        <f t="shared" ref="S31:S36" si="24">P31+Q31</f>
        <v>-3126.21651456875</v>
      </c>
    </row>
    <row r="32" spans="1:21" x14ac:dyDescent="0.15">
      <c r="A32" s="70"/>
      <c r="B32" s="71"/>
      <c r="C32" s="72"/>
      <c r="D32" s="70"/>
      <c r="E32" s="71"/>
      <c r="F32" s="72"/>
      <c r="G32" s="70"/>
      <c r="H32" s="71"/>
      <c r="I32" s="72"/>
      <c r="J32" s="70"/>
      <c r="K32" s="71"/>
      <c r="L32" s="77"/>
      <c r="M32" s="265"/>
      <c r="N32" s="33" t="s">
        <v>8</v>
      </c>
      <c r="O32" s="10">
        <v>-1.1990000000000001E-2</v>
      </c>
      <c r="P32" s="10">
        <v>-520.51582156749998</v>
      </c>
      <c r="Q32" s="10">
        <v>-8.1799999999999998E-3</v>
      </c>
      <c r="R32" s="35">
        <f t="shared" si="23"/>
        <v>-520.52781156749995</v>
      </c>
      <c r="S32" s="33">
        <f t="shared" si="24"/>
        <v>-520.52400156750002</v>
      </c>
      <c r="U32" s="5">
        <v>-541.34510042169995</v>
      </c>
    </row>
    <row r="33" spans="1:19" ht="14.25" thickBot="1" x14ac:dyDescent="0.2">
      <c r="A33" s="73"/>
      <c r="B33" s="74"/>
      <c r="C33" s="75"/>
      <c r="D33" s="165"/>
      <c r="E33" s="166"/>
      <c r="F33" s="203"/>
      <c r="G33" s="165"/>
      <c r="H33" s="166"/>
      <c r="I33" s="203"/>
      <c r="J33" s="165"/>
      <c r="K33" s="166"/>
      <c r="L33" s="167"/>
      <c r="M33" s="266"/>
      <c r="N33" s="33" t="s">
        <v>9</v>
      </c>
      <c r="O33" s="34">
        <f>-0.67676/4</f>
        <v>-0.16919000000000001</v>
      </c>
      <c r="P33" s="34">
        <v>-313.16044032125001</v>
      </c>
      <c r="Q33" s="34">
        <v>-0.16745375000000001</v>
      </c>
      <c r="R33" s="35">
        <f t="shared" si="23"/>
        <v>-313.32963032125002</v>
      </c>
      <c r="S33" s="33">
        <f t="shared" si="24"/>
        <v>-313.32789407125</v>
      </c>
    </row>
    <row r="34" spans="1:19" x14ac:dyDescent="0.15">
      <c r="A34" s="52" t="s">
        <v>112</v>
      </c>
      <c r="B34" s="12" t="s">
        <v>3</v>
      </c>
      <c r="C34" s="49" t="s">
        <v>4</v>
      </c>
      <c r="D34" s="237" t="s">
        <v>110</v>
      </c>
      <c r="E34" s="225" t="s">
        <v>3</v>
      </c>
      <c r="F34" s="220" t="s">
        <v>4</v>
      </c>
      <c r="G34" s="193" t="s">
        <v>110</v>
      </c>
      <c r="H34" s="188" t="s">
        <v>3</v>
      </c>
      <c r="I34" s="220" t="s">
        <v>4</v>
      </c>
      <c r="J34" s="193" t="s">
        <v>110</v>
      </c>
      <c r="K34" s="188" t="s">
        <v>3</v>
      </c>
      <c r="L34" s="160" t="s">
        <v>4</v>
      </c>
      <c r="M34" s="267">
        <f>B40+1.68514</f>
        <v>2.2358668686688885</v>
      </c>
      <c r="N34" s="33" t="s">
        <v>10</v>
      </c>
      <c r="O34" s="34">
        <v>-0.33829500000000001</v>
      </c>
      <c r="P34" s="34">
        <v>-1659.5921449524999</v>
      </c>
      <c r="Q34" s="34">
        <v>-0.31450499999999998</v>
      </c>
      <c r="R34" s="35">
        <f t="shared" si="23"/>
        <v>-1659.9304399524999</v>
      </c>
      <c r="S34" s="33">
        <f t="shared" si="24"/>
        <v>-1659.9066499524999</v>
      </c>
    </row>
    <row r="35" spans="1:19" x14ac:dyDescent="0.15">
      <c r="A35" s="250">
        <f>O12</f>
        <v>-0.30121603875000003</v>
      </c>
      <c r="B35" s="90">
        <f>P12</f>
        <v>-2625.0865531095769</v>
      </c>
      <c r="C35" s="232">
        <f>Q12</f>
        <v>-0.29927296049999996</v>
      </c>
      <c r="D35" s="238"/>
      <c r="E35" s="226"/>
      <c r="F35" s="106"/>
      <c r="G35" s="149"/>
      <c r="H35" s="103"/>
      <c r="I35" s="106"/>
      <c r="J35" s="149"/>
      <c r="K35" s="103"/>
      <c r="L35" s="100"/>
      <c r="M35" s="268"/>
      <c r="N35" s="33" t="s">
        <v>39</v>
      </c>
      <c r="O35" s="34">
        <v>-0.64692000000000005</v>
      </c>
      <c r="P35" s="34">
        <f>-2287.895842303</f>
        <v>-2287.8958423029999</v>
      </c>
      <c r="Q35" s="34">
        <v>-0.66012999999999999</v>
      </c>
      <c r="R35" s="35">
        <f t="shared" si="23"/>
        <v>-2288.542762303</v>
      </c>
      <c r="S35" s="33">
        <f t="shared" si="24"/>
        <v>-2288.5559723030001</v>
      </c>
    </row>
    <row r="36" spans="1:19" ht="14.25" thickBot="1" x14ac:dyDescent="0.2">
      <c r="A36" s="251"/>
      <c r="B36" s="92"/>
      <c r="C36" s="233"/>
      <c r="D36" s="238"/>
      <c r="E36" s="226"/>
      <c r="F36" s="106"/>
      <c r="G36" s="149"/>
      <c r="H36" s="103"/>
      <c r="I36" s="106"/>
      <c r="J36" s="149"/>
      <c r="K36" s="103"/>
      <c r="L36" s="100"/>
      <c r="M36" s="269"/>
      <c r="N36" s="33" t="s">
        <v>12</v>
      </c>
      <c r="O36" s="10">
        <v>-0.49839</v>
      </c>
      <c r="P36" s="10">
        <v>-836.81690697830004</v>
      </c>
      <c r="Q36" s="10">
        <v>-0.51073500000000005</v>
      </c>
      <c r="R36" s="35">
        <f t="shared" si="23"/>
        <v>-837.31529697830001</v>
      </c>
      <c r="S36" s="33">
        <f t="shared" si="24"/>
        <v>-837.32764197829999</v>
      </c>
    </row>
    <row r="37" spans="1:19" x14ac:dyDescent="0.15">
      <c r="A37" s="54" t="s">
        <v>113</v>
      </c>
      <c r="B37" s="14" t="s">
        <v>3</v>
      </c>
      <c r="C37" s="50" t="s">
        <v>4</v>
      </c>
      <c r="D37" s="238">
        <f>-0.27401/4</f>
        <v>-6.8502499999999994E-2</v>
      </c>
      <c r="E37" s="226">
        <f>-2083.936757544/4</f>
        <v>-520.98418938600003</v>
      </c>
      <c r="F37" s="106">
        <f>-0.2787/4</f>
        <v>-6.9675000000000001E-2</v>
      </c>
      <c r="G37" s="186">
        <f>-9.65398429</f>
        <v>-9.6539842900000004</v>
      </c>
      <c r="H37" s="104">
        <f>-9216225.49900866-(-9.65398429)</f>
        <v>-9216215.8450243697</v>
      </c>
      <c r="I37" s="107">
        <f>-9.441765483</f>
        <v>-9.4417654829999993</v>
      </c>
      <c r="J37" s="186">
        <f t="shared" ref="J37:L37" si="25">J7</f>
        <v>-8.9407424599999992</v>
      </c>
      <c r="K37" s="104">
        <f t="shared" si="25"/>
        <v>-9213597.55413392</v>
      </c>
      <c r="L37" s="101">
        <f t="shared" si="25"/>
        <v>-8.8183975179999994</v>
      </c>
      <c r="M37" s="157">
        <f>H40+1.68514</f>
        <v>2.6478926599188894</v>
      </c>
      <c r="N37" s="36" t="s">
        <v>85</v>
      </c>
      <c r="O37" s="33">
        <f t="shared" ref="O37:S37" si="26">O52/2</f>
        <v>-3.7034374999999981E-2</v>
      </c>
      <c r="P37" s="33">
        <f t="shared" si="26"/>
        <v>-1.3780667991323412</v>
      </c>
      <c r="Q37" s="33">
        <f t="shared" si="26"/>
        <v>-2.9874999999999846E-2</v>
      </c>
      <c r="R37" s="33">
        <f t="shared" si="26"/>
        <v>-1.4151011741323412</v>
      </c>
      <c r="S37" s="33">
        <f t="shared" si="26"/>
        <v>-1.4079417991323411</v>
      </c>
    </row>
    <row r="38" spans="1:19" x14ac:dyDescent="0.15">
      <c r="A38" s="149">
        <f>O13</f>
        <v>-0.40059007250000001</v>
      </c>
      <c r="B38" s="103">
        <f>P13</f>
        <v>-2624.0495594075182</v>
      </c>
      <c r="C38" s="106">
        <f>Q13</f>
        <v>-0.3620473596249999</v>
      </c>
      <c r="D38" s="238"/>
      <c r="E38" s="226"/>
      <c r="F38" s="106"/>
      <c r="G38" s="186"/>
      <c r="H38" s="104"/>
      <c r="I38" s="107"/>
      <c r="J38" s="186"/>
      <c r="K38" s="104"/>
      <c r="L38" s="101"/>
      <c r="M38" s="158"/>
      <c r="N38" s="36" t="s">
        <v>86</v>
      </c>
      <c r="O38" s="33">
        <f t="shared" ref="O38:S38" si="27">O52</f>
        <v>-7.4068749999999961E-2</v>
      </c>
      <c r="P38" s="33">
        <f t="shared" si="27"/>
        <v>-2.7561335982646824</v>
      </c>
      <c r="Q38" s="33">
        <f t="shared" si="27"/>
        <v>-5.9749999999999692E-2</v>
      </c>
      <c r="R38" s="33">
        <f t="shared" si="27"/>
        <v>-2.8302023482646823</v>
      </c>
      <c r="S38" s="33">
        <f t="shared" si="27"/>
        <v>-2.8158835982646822</v>
      </c>
    </row>
    <row r="39" spans="1:19" ht="15.75" thickBot="1" x14ac:dyDescent="0.2">
      <c r="A39" s="150"/>
      <c r="B39" s="145"/>
      <c r="C39" s="109"/>
      <c r="D39" s="239"/>
      <c r="E39" s="227"/>
      <c r="F39" s="109"/>
      <c r="G39" s="187"/>
      <c r="H39" s="105"/>
      <c r="I39" s="108"/>
      <c r="J39" s="187"/>
      <c r="K39" s="105"/>
      <c r="L39" s="102"/>
      <c r="M39" s="159"/>
      <c r="N39" s="37" t="s">
        <v>87</v>
      </c>
      <c r="O39" s="33">
        <f t="shared" ref="O39:Q39" si="28">O34+O38</f>
        <v>-0.41236374999999997</v>
      </c>
      <c r="P39" s="33">
        <f t="shared" si="28"/>
        <v>-1662.3482785507645</v>
      </c>
      <c r="Q39" s="33">
        <f t="shared" si="28"/>
        <v>-0.37425499999999967</v>
      </c>
      <c r="R39" s="35">
        <f t="shared" ref="R39:R46" si="29">P39+O39</f>
        <v>-1662.7606423007644</v>
      </c>
      <c r="S39" s="35">
        <f>Q39+P39</f>
        <v>-1662.7225335507644</v>
      </c>
    </row>
    <row r="40" spans="1:19" ht="15" x14ac:dyDescent="0.15">
      <c r="A40" s="246" t="s">
        <v>116</v>
      </c>
      <c r="B40" s="88">
        <f>E40+H40</f>
        <v>0.5507268686688882</v>
      </c>
      <c r="C40" s="89"/>
      <c r="D40" s="236" t="s">
        <v>122</v>
      </c>
      <c r="E40" s="88">
        <f>G37-J37-A35</f>
        <v>-0.41202579125000116</v>
      </c>
      <c r="F40" s="89"/>
      <c r="G40" s="151" t="s">
        <v>14</v>
      </c>
      <c r="H40" s="88">
        <f>H37-K37-B35+(1)*(-5.83291)</f>
        <v>0.96275265991888936</v>
      </c>
      <c r="I40" s="89"/>
      <c r="J40" s="151" t="s">
        <v>15</v>
      </c>
      <c r="K40" s="88">
        <f>I37-L37-C35</f>
        <v>-0.32409500449999995</v>
      </c>
      <c r="L40" s="170"/>
      <c r="M40" s="157">
        <f>B43+1.68514</f>
        <v>1.2982472003602079</v>
      </c>
      <c r="N40" s="37" t="s">
        <v>88</v>
      </c>
      <c r="O40" s="38">
        <f t="shared" ref="O40:Q40" si="30">O33+O37</f>
        <v>-0.20622437499999999</v>
      </c>
      <c r="P40" s="38">
        <f t="shared" si="30"/>
        <v>-314.53850712038235</v>
      </c>
      <c r="Q40" s="38">
        <f t="shared" si="30"/>
        <v>-0.19732874999999986</v>
      </c>
      <c r="R40" s="35">
        <f t="shared" si="29"/>
        <v>-314.74473149538233</v>
      </c>
      <c r="S40" s="38">
        <f>S33+S37</f>
        <v>-314.73583587038235</v>
      </c>
    </row>
    <row r="41" spans="1:19" ht="15" x14ac:dyDescent="0.15">
      <c r="A41" s="149"/>
      <c r="B41" s="90"/>
      <c r="C41" s="91"/>
      <c r="D41" s="103"/>
      <c r="E41" s="90"/>
      <c r="F41" s="91"/>
      <c r="G41" s="152"/>
      <c r="H41" s="90"/>
      <c r="I41" s="91"/>
      <c r="J41" s="152"/>
      <c r="K41" s="90"/>
      <c r="L41" s="171"/>
      <c r="M41" s="158"/>
      <c r="N41" s="37" t="s">
        <v>89</v>
      </c>
      <c r="O41" s="33">
        <f t="shared" ref="O41:Q41" si="31">O31-O39-3*O33</f>
        <v>-0.2055825</v>
      </c>
      <c r="P41" s="33">
        <f t="shared" si="31"/>
        <v>-523.3039550542353</v>
      </c>
      <c r="Q41" s="33">
        <f t="shared" si="31"/>
        <v>-0.20634375000000016</v>
      </c>
      <c r="R41" s="35">
        <f t="shared" si="29"/>
        <v>-523.50953755423529</v>
      </c>
      <c r="S41" s="33">
        <f t="shared" ref="S41:S46" si="32">P41+Q41</f>
        <v>-523.51029880423528</v>
      </c>
    </row>
    <row r="42" spans="1:19" ht="15.75" thickBot="1" x14ac:dyDescent="0.2">
      <c r="A42" s="247"/>
      <c r="B42" s="172"/>
      <c r="C42" s="208"/>
      <c r="D42" s="147"/>
      <c r="E42" s="172"/>
      <c r="F42" s="208"/>
      <c r="G42" s="154"/>
      <c r="H42" s="172"/>
      <c r="I42" s="208"/>
      <c r="J42" s="154"/>
      <c r="K42" s="172"/>
      <c r="L42" s="173"/>
      <c r="M42" s="159"/>
      <c r="N42" s="37" t="s">
        <v>90</v>
      </c>
      <c r="O42" s="38">
        <f t="shared" ref="O42:Q42" si="33">O31-O34-3*O40</f>
        <v>-0.16854812500000005</v>
      </c>
      <c r="P42" s="38">
        <f t="shared" si="33"/>
        <v>-521.92588825510279</v>
      </c>
      <c r="Q42" s="38">
        <f t="shared" si="33"/>
        <v>-0.17646875000000029</v>
      </c>
      <c r="R42" s="35">
        <f t="shared" si="29"/>
        <v>-522.09443638010282</v>
      </c>
      <c r="S42" s="33">
        <f t="shared" si="32"/>
        <v>-522.10235700510282</v>
      </c>
    </row>
    <row r="43" spans="1:19" ht="15" x14ac:dyDescent="0.15">
      <c r="A43" s="248" t="s">
        <v>118</v>
      </c>
      <c r="B43" s="174">
        <f>E43+H43</f>
        <v>-0.38689279963979217</v>
      </c>
      <c r="C43" s="174"/>
      <c r="D43" s="240" t="s">
        <v>120</v>
      </c>
      <c r="E43" s="174">
        <f>G37-J37-A38</f>
        <v>-0.31265175750000118</v>
      </c>
      <c r="F43" s="209"/>
      <c r="G43" s="224" t="s">
        <v>31</v>
      </c>
      <c r="H43" s="174">
        <f>H37-K37-B38+(1)*(-5.83291)</f>
        <v>-7.4241042139790991E-2</v>
      </c>
      <c r="I43" s="209"/>
      <c r="J43" s="194" t="s">
        <v>32</v>
      </c>
      <c r="K43" s="174">
        <f>I37-L37-C38</f>
        <v>-0.26132060537500001</v>
      </c>
      <c r="L43" s="175"/>
      <c r="M43" s="157">
        <f>H43+1.68514</f>
        <v>1.6108989578602091</v>
      </c>
      <c r="N43" s="37" t="s">
        <v>91</v>
      </c>
      <c r="O43" s="33">
        <f t="shared" ref="O43:Q43" si="34">O33</f>
        <v>-0.16919000000000001</v>
      </c>
      <c r="P43" s="33">
        <f t="shared" si="34"/>
        <v>-313.16044032125001</v>
      </c>
      <c r="Q43" s="33">
        <f t="shared" si="34"/>
        <v>-0.16745375000000001</v>
      </c>
      <c r="R43" s="35">
        <f t="shared" si="29"/>
        <v>-313.32963032125002</v>
      </c>
      <c r="S43" s="33">
        <f t="shared" si="32"/>
        <v>-313.32789407125</v>
      </c>
    </row>
    <row r="44" spans="1:19" ht="15" x14ac:dyDescent="0.15">
      <c r="A44" s="210"/>
      <c r="B44" s="90"/>
      <c r="C44" s="90"/>
      <c r="D44" s="103"/>
      <c r="E44" s="90"/>
      <c r="F44" s="91"/>
      <c r="G44" s="103"/>
      <c r="H44" s="90"/>
      <c r="I44" s="91"/>
      <c r="J44" s="152"/>
      <c r="K44" s="90"/>
      <c r="L44" s="171"/>
      <c r="M44" s="158"/>
      <c r="N44" s="37" t="s">
        <v>92</v>
      </c>
      <c r="O44" s="33">
        <f t="shared" ref="O44:Q44" si="35">O34</f>
        <v>-0.33829500000000001</v>
      </c>
      <c r="P44" s="33">
        <f t="shared" si="35"/>
        <v>-1659.5921449524999</v>
      </c>
      <c r="Q44" s="33">
        <f t="shared" si="35"/>
        <v>-0.31450499999999998</v>
      </c>
      <c r="R44" s="35">
        <f t="shared" si="29"/>
        <v>-1659.9304399524999</v>
      </c>
      <c r="S44" s="33">
        <f t="shared" si="32"/>
        <v>-1659.9066499524999</v>
      </c>
    </row>
    <row r="45" spans="1:19" ht="15.75" thickBot="1" x14ac:dyDescent="0.2">
      <c r="A45" s="249"/>
      <c r="B45" s="172"/>
      <c r="C45" s="172"/>
      <c r="D45" s="145"/>
      <c r="E45" s="92"/>
      <c r="F45" s="93"/>
      <c r="G45" s="145"/>
      <c r="H45" s="92"/>
      <c r="I45" s="93"/>
      <c r="J45" s="153"/>
      <c r="K45" s="92"/>
      <c r="L45" s="176"/>
      <c r="M45" s="159"/>
      <c r="N45" s="37" t="s">
        <v>93</v>
      </c>
      <c r="O45" s="33">
        <f t="shared" ref="O45:Q45" si="36">O40</f>
        <v>-0.20622437499999999</v>
      </c>
      <c r="P45" s="33">
        <f t="shared" si="36"/>
        <v>-314.53850712038235</v>
      </c>
      <c r="Q45" s="33">
        <f t="shared" si="36"/>
        <v>-0.19732874999999986</v>
      </c>
      <c r="R45" s="35">
        <f t="shared" si="29"/>
        <v>-314.74473149538233</v>
      </c>
      <c r="S45" s="33">
        <f t="shared" si="32"/>
        <v>-314.73583587038235</v>
      </c>
    </row>
    <row r="46" spans="1:19" ht="15" customHeight="1" x14ac:dyDescent="0.15">
      <c r="A46" s="63" t="str">
        <f>A1</f>
        <v>μpb(Pb-poor, Pb-rich)</v>
      </c>
      <c r="B46" s="64"/>
      <c r="C46" s="64"/>
      <c r="D46" s="67" t="str">
        <f t="shared" ref="D46:J46" si="37">D1</f>
        <v>Pb(Bulk)</v>
      </c>
      <c r="E46" s="68"/>
      <c r="F46" s="69"/>
      <c r="G46" s="67" t="s">
        <v>68</v>
      </c>
      <c r="H46" s="68"/>
      <c r="I46" s="69"/>
      <c r="J46" s="67" t="str">
        <f t="shared" si="37"/>
        <v>E(MAPbI3)perfect</v>
      </c>
      <c r="K46" s="68"/>
      <c r="L46" s="76"/>
      <c r="M46" s="264" t="s">
        <v>65</v>
      </c>
      <c r="N46" s="37" t="s">
        <v>94</v>
      </c>
      <c r="O46" s="33">
        <f t="shared" ref="O46:Q46" si="38">O43</f>
        <v>-0.16919000000000001</v>
      </c>
      <c r="P46" s="33">
        <f t="shared" si="38"/>
        <v>-313.16044032125001</v>
      </c>
      <c r="Q46" s="33">
        <f t="shared" si="38"/>
        <v>-0.16745375000000001</v>
      </c>
      <c r="R46" s="35">
        <f t="shared" si="29"/>
        <v>-313.32963032125002</v>
      </c>
      <c r="S46" s="33">
        <f t="shared" si="32"/>
        <v>-313.32789407125</v>
      </c>
    </row>
    <row r="47" spans="1:19" ht="13.5" customHeight="1" x14ac:dyDescent="0.15">
      <c r="A47" s="65"/>
      <c r="B47" s="66"/>
      <c r="C47" s="66"/>
      <c r="D47" s="70"/>
      <c r="E47" s="71"/>
      <c r="F47" s="72"/>
      <c r="G47" s="70"/>
      <c r="H47" s="71"/>
      <c r="I47" s="72"/>
      <c r="J47" s="70"/>
      <c r="K47" s="71"/>
      <c r="L47" s="77"/>
      <c r="M47" s="265"/>
      <c r="N47" s="33"/>
      <c r="O47" s="33"/>
      <c r="P47" s="33"/>
      <c r="Q47" s="33"/>
      <c r="R47" s="35"/>
      <c r="S47" s="33"/>
    </row>
    <row r="48" spans="1:19" ht="14.25" customHeight="1" thickBot="1" x14ac:dyDescent="0.2">
      <c r="A48" s="65"/>
      <c r="B48" s="66"/>
      <c r="C48" s="66"/>
      <c r="D48" s="73"/>
      <c r="E48" s="74"/>
      <c r="F48" s="75"/>
      <c r="G48" s="73"/>
      <c r="H48" s="74"/>
      <c r="I48" s="75"/>
      <c r="J48" s="73"/>
      <c r="K48" s="74"/>
      <c r="L48" s="78"/>
      <c r="M48" s="266"/>
      <c r="N48" s="39" t="s">
        <v>80</v>
      </c>
      <c r="O48" s="33">
        <f t="shared" ref="O48:Q48" si="39">O35-O34-2*O33</f>
        <v>2.9754999999999976E-2</v>
      </c>
      <c r="P48" s="33">
        <f t="shared" si="39"/>
        <v>-1.982816707999973</v>
      </c>
      <c r="Q48" s="33">
        <f t="shared" si="39"/>
        <v>-1.0717499999999991E-2</v>
      </c>
      <c r="R48" s="35">
        <f t="shared" ref="R48:R55" si="40">P48+O48</f>
        <v>-1.953061707999973</v>
      </c>
      <c r="S48" s="33">
        <f t="shared" ref="S48:S55" si="41">P48+Q48</f>
        <v>-1.9935342079999729</v>
      </c>
    </row>
    <row r="49" spans="1:19" x14ac:dyDescent="0.15">
      <c r="A49" s="11" t="str">
        <f t="shared" ref="A49:L49" si="42">A4</f>
        <v>MBD</v>
      </c>
      <c r="B49" s="12" t="str">
        <f t="shared" si="42"/>
        <v>PBE</v>
      </c>
      <c r="C49" s="49" t="str">
        <f t="shared" si="42"/>
        <v>TS</v>
      </c>
      <c r="D49" s="149" t="str">
        <f t="shared" si="42"/>
        <v>MBD</v>
      </c>
      <c r="E49" s="103" t="str">
        <f t="shared" si="42"/>
        <v>PBE</v>
      </c>
      <c r="F49" s="106" t="str">
        <f t="shared" si="42"/>
        <v>TS</v>
      </c>
      <c r="G49" s="149" t="str">
        <f t="shared" si="42"/>
        <v>MBD</v>
      </c>
      <c r="H49" s="103" t="str">
        <f>H4</f>
        <v>PBE</v>
      </c>
      <c r="I49" s="106" t="str">
        <f t="shared" si="42"/>
        <v>TS</v>
      </c>
      <c r="J49" s="149" t="str">
        <f t="shared" si="42"/>
        <v>MBD</v>
      </c>
      <c r="K49" s="103" t="str">
        <f t="shared" si="42"/>
        <v>PBE</v>
      </c>
      <c r="L49" s="100" t="str">
        <f t="shared" si="42"/>
        <v>TS</v>
      </c>
      <c r="M49" s="157">
        <f>B55-1.68514</f>
        <v>3.9273786050157908</v>
      </c>
      <c r="N49" s="39" t="s">
        <v>28</v>
      </c>
      <c r="O49" s="33">
        <f t="shared" ref="O49:Q49" si="43">O36-O54-O55-6*O53-O33</f>
        <v>-0.1935925</v>
      </c>
      <c r="P49" s="33">
        <f t="shared" si="43"/>
        <v>-2.7881334867350915</v>
      </c>
      <c r="Q49" s="33">
        <f t="shared" si="43"/>
        <v>-0.19816375000000003</v>
      </c>
      <c r="R49" s="35">
        <f t="shared" si="40"/>
        <v>-2.9817259867350914</v>
      </c>
      <c r="S49" s="33">
        <f t="shared" si="41"/>
        <v>-2.9862972367350915</v>
      </c>
    </row>
    <row r="50" spans="1:19" x14ac:dyDescent="0.15">
      <c r="A50" s="250">
        <f>A5</f>
        <v>-0.23084000499999993</v>
      </c>
      <c r="B50" s="90">
        <f>B5</f>
        <v>-568161.34678290912</v>
      </c>
      <c r="C50" s="232">
        <f t="shared" ref="C50" si="44">C5</f>
        <v>-0.16990864924999999</v>
      </c>
      <c r="D50" s="149"/>
      <c r="E50" s="103"/>
      <c r="F50" s="106"/>
      <c r="G50" s="149"/>
      <c r="H50" s="103"/>
      <c r="I50" s="106"/>
      <c r="J50" s="149"/>
      <c r="K50" s="103"/>
      <c r="L50" s="100"/>
      <c r="M50" s="158"/>
      <c r="N50" s="39" t="s">
        <v>81</v>
      </c>
      <c r="O50" s="33">
        <f t="shared" ref="O50:Q50" si="45">O31-O32-O34-3*O33</f>
        <v>-0.26766124999999996</v>
      </c>
      <c r="P50" s="24">
        <f t="shared" si="45"/>
        <v>-5.5442670849997739</v>
      </c>
      <c r="Q50" s="33">
        <f t="shared" si="45"/>
        <v>-0.25791374999999972</v>
      </c>
      <c r="R50" s="35">
        <f t="shared" si="40"/>
        <v>-5.8119283349997737</v>
      </c>
      <c r="S50" s="33">
        <f t="shared" si="41"/>
        <v>-5.8021808349997741</v>
      </c>
    </row>
    <row r="51" spans="1:19" ht="14.25" thickBot="1" x14ac:dyDescent="0.2">
      <c r="A51" s="251"/>
      <c r="B51" s="92"/>
      <c r="C51" s="233"/>
      <c r="D51" s="149"/>
      <c r="E51" s="103"/>
      <c r="F51" s="106"/>
      <c r="G51" s="149"/>
      <c r="H51" s="103"/>
      <c r="I51" s="106"/>
      <c r="J51" s="149"/>
      <c r="K51" s="103"/>
      <c r="L51" s="100"/>
      <c r="M51" s="159"/>
      <c r="N51" s="40" t="s">
        <v>82</v>
      </c>
      <c r="O51" s="33">
        <f t="shared" ref="O51:Q51" si="46">O50-O49-O48</f>
        <v>-0.10382374999999994</v>
      </c>
      <c r="P51" s="33">
        <f t="shared" si="46"/>
        <v>-0.7733168902647094</v>
      </c>
      <c r="Q51" s="33">
        <f t="shared" si="46"/>
        <v>-4.9032499999999701E-2</v>
      </c>
      <c r="R51" s="35">
        <f t="shared" si="40"/>
        <v>-0.87714064026470928</v>
      </c>
      <c r="S51" s="33">
        <f t="shared" si="41"/>
        <v>-0.8223493902647091</v>
      </c>
    </row>
    <row r="52" spans="1:19" x14ac:dyDescent="0.15">
      <c r="A52" s="13" t="str">
        <f t="shared" ref="A52:L52" si="47">A7</f>
        <v>MBD</v>
      </c>
      <c r="B52" s="14" t="str">
        <f t="shared" si="47"/>
        <v>PBE</v>
      </c>
      <c r="C52" s="50" t="str">
        <f t="shared" si="47"/>
        <v>TS</v>
      </c>
      <c r="D52" s="149">
        <f t="shared" si="47"/>
        <v>-0.42958807249999997</v>
      </c>
      <c r="E52" s="103">
        <f t="shared" si="47"/>
        <v>-568159.27279550501</v>
      </c>
      <c r="F52" s="106">
        <f t="shared" si="47"/>
        <v>-0.29545744750000003</v>
      </c>
      <c r="G52" s="186">
        <f>-9.49365645</f>
        <v>-9.4936564499999996</v>
      </c>
      <c r="H52" s="104">
        <f>-9781768.18779069-(-9.49365645)</f>
        <v>-9781758.6941342391</v>
      </c>
      <c r="I52" s="107">
        <f>-9.324428589</f>
        <v>-9.324428589</v>
      </c>
      <c r="J52" s="186">
        <f t="shared" si="47"/>
        <v>-8.9407424599999992</v>
      </c>
      <c r="K52" s="104">
        <f t="shared" si="47"/>
        <v>-9213597.55413392</v>
      </c>
      <c r="L52" s="101">
        <f t="shared" si="47"/>
        <v>-8.8183975179999994</v>
      </c>
      <c r="M52" s="157">
        <f>H55-1.68514</f>
        <v>4.2494525900157907</v>
      </c>
      <c r="N52" s="40" t="s">
        <v>83</v>
      </c>
      <c r="O52" s="33">
        <f t="shared" ref="O52:Q52" si="48">O50-O49</f>
        <v>-7.4068749999999961E-2</v>
      </c>
      <c r="P52" s="33">
        <f t="shared" si="48"/>
        <v>-2.7561335982646824</v>
      </c>
      <c r="Q52" s="33">
        <f t="shared" si="48"/>
        <v>-5.9749999999999692E-2</v>
      </c>
      <c r="R52" s="35">
        <f t="shared" si="40"/>
        <v>-2.8302023482646823</v>
      </c>
      <c r="S52" s="33">
        <f t="shared" si="41"/>
        <v>-2.8158835982646822</v>
      </c>
    </row>
    <row r="53" spans="1:19" x14ac:dyDescent="0.15">
      <c r="A53" s="149">
        <f t="shared" ref="A53:C53" si="49">A8</f>
        <v>-0.42958807249999997</v>
      </c>
      <c r="B53" s="103">
        <f>B8</f>
        <v>-568159.27279550501</v>
      </c>
      <c r="C53" s="106">
        <f t="shared" si="49"/>
        <v>-0.29545744750000003</v>
      </c>
      <c r="D53" s="149"/>
      <c r="E53" s="103"/>
      <c r="F53" s="106"/>
      <c r="G53" s="186"/>
      <c r="H53" s="104"/>
      <c r="I53" s="107"/>
      <c r="J53" s="186"/>
      <c r="K53" s="104"/>
      <c r="L53" s="101"/>
      <c r="M53" s="158"/>
      <c r="N53" s="33" t="s">
        <v>29</v>
      </c>
      <c r="O53" s="33">
        <f>-0.00003/2</f>
        <v>-1.5E-5</v>
      </c>
      <c r="P53" s="33">
        <f>-31.69580258858/2</f>
        <v>-15.847901294290001</v>
      </c>
      <c r="Q53" s="33">
        <f>-0.00003/2</f>
        <v>-1.5E-5</v>
      </c>
      <c r="R53" s="35">
        <f t="shared" si="40"/>
        <v>-15.84791629429</v>
      </c>
      <c r="S53" s="33">
        <f t="shared" si="41"/>
        <v>-15.84791629429</v>
      </c>
    </row>
    <row r="54" spans="1:19" ht="14.25" thickBot="1" x14ac:dyDescent="0.2">
      <c r="A54" s="150"/>
      <c r="B54" s="145"/>
      <c r="C54" s="109"/>
      <c r="D54" s="150"/>
      <c r="E54" s="145"/>
      <c r="F54" s="109"/>
      <c r="G54" s="187"/>
      <c r="H54" s="105"/>
      <c r="I54" s="108"/>
      <c r="J54" s="187"/>
      <c r="K54" s="105"/>
      <c r="L54" s="102"/>
      <c r="M54" s="159"/>
      <c r="N54" s="33" t="s">
        <v>33</v>
      </c>
      <c r="O54" s="33">
        <f>-0.54157/4</f>
        <v>-0.1353925</v>
      </c>
      <c r="P54" s="33">
        <f>-620.2735402879/4</f>
        <v>-155.068385071975</v>
      </c>
      <c r="Q54" s="33">
        <f>-0.57959/4</f>
        <v>-0.14489750000000001</v>
      </c>
      <c r="R54" s="35">
        <f t="shared" si="40"/>
        <v>-155.203777571975</v>
      </c>
      <c r="S54" s="33">
        <f t="shared" si="41"/>
        <v>-155.21328257197501</v>
      </c>
    </row>
    <row r="55" spans="1:19" ht="13.5" customHeight="1" x14ac:dyDescent="0.15">
      <c r="A55" s="252" t="str">
        <f t="shared" ref="A55:J55" si="50">A10</f>
        <v>Ef(MBD+PBE)
Pb-poor</v>
      </c>
      <c r="B55" s="88">
        <f>E55+H55</f>
        <v>5.6125186050157909</v>
      </c>
      <c r="C55" s="89"/>
      <c r="D55" s="212" t="str">
        <f t="shared" si="50"/>
        <v>MBD
Pb-poor</v>
      </c>
      <c r="E55" s="88">
        <f>G52-J52-A50</f>
        <v>-0.32207398500000051</v>
      </c>
      <c r="F55" s="89"/>
      <c r="G55" s="151" t="str">
        <f t="shared" si="50"/>
        <v>PBE
Pb-poor</v>
      </c>
      <c r="H55" s="88">
        <f>H52-K52-B50+(-1)*(-5.72781)</f>
        <v>5.9345925900157912</v>
      </c>
      <c r="I55" s="89"/>
      <c r="J55" s="151" t="str">
        <f t="shared" si="50"/>
        <v>TS
Pb-poor</v>
      </c>
      <c r="K55" s="88">
        <f>I52-L52-C50</f>
        <v>-0.33612242175000068</v>
      </c>
      <c r="L55" s="170"/>
      <c r="M55" s="157">
        <f>B58-1.68514</f>
        <v>2.0521392683984301</v>
      </c>
      <c r="N55" s="33" t="s">
        <v>34</v>
      </c>
      <c r="O55" s="33">
        <f>-0.00025/2</f>
        <v>-1.25E-4</v>
      </c>
      <c r="P55" s="33">
        <f>-541.4250806652/2</f>
        <v>-270.71254033259999</v>
      </c>
      <c r="Q55" s="33">
        <f>-0.00026/2</f>
        <v>-1.2999999999999999E-4</v>
      </c>
      <c r="R55" s="35">
        <f t="shared" si="40"/>
        <v>-270.71266533260001</v>
      </c>
      <c r="S55" s="33">
        <f t="shared" si="41"/>
        <v>-270.7126703326</v>
      </c>
    </row>
    <row r="56" spans="1:19" x14ac:dyDescent="0.15">
      <c r="A56" s="149"/>
      <c r="B56" s="90"/>
      <c r="C56" s="91"/>
      <c r="D56" s="103"/>
      <c r="E56" s="90"/>
      <c r="F56" s="91"/>
      <c r="G56" s="152"/>
      <c r="H56" s="90"/>
      <c r="I56" s="91"/>
      <c r="J56" s="152"/>
      <c r="K56" s="90"/>
      <c r="L56" s="171"/>
      <c r="M56" s="158"/>
    </row>
    <row r="57" spans="1:19" ht="14.25" thickBot="1" x14ac:dyDescent="0.2">
      <c r="A57" s="150"/>
      <c r="B57" s="92"/>
      <c r="C57" s="93"/>
      <c r="D57" s="145"/>
      <c r="E57" s="92"/>
      <c r="F57" s="93"/>
      <c r="G57" s="153"/>
      <c r="H57" s="92"/>
      <c r="I57" s="93"/>
      <c r="J57" s="153"/>
      <c r="K57" s="92"/>
      <c r="L57" s="176"/>
      <c r="M57" s="159"/>
    </row>
    <row r="58" spans="1:19" ht="13.5" customHeight="1" x14ac:dyDescent="0.15">
      <c r="A58" s="120" t="str">
        <f t="shared" ref="A58:J58" si="51">A13</f>
        <v>Ef(MBD+PBE)
Pb-rich</v>
      </c>
      <c r="B58" s="88">
        <f>E58+H58</f>
        <v>3.7372792683984302</v>
      </c>
      <c r="C58" s="88"/>
      <c r="D58" s="212" t="str">
        <f t="shared" si="51"/>
        <v>MBD
Pb-rich</v>
      </c>
      <c r="E58" s="88">
        <f>G52-J52-A53</f>
        <v>-0.12332591750000044</v>
      </c>
      <c r="F58" s="89"/>
      <c r="G58" s="212" t="str">
        <f t="shared" si="51"/>
        <v>PBE
Pb-rich</v>
      </c>
      <c r="H58" s="88">
        <f>H52-K52-B53+(-1)*(-5.72781)</f>
        <v>3.8606051858984305</v>
      </c>
      <c r="I58" s="89"/>
      <c r="J58" s="151" t="str">
        <f t="shared" si="51"/>
        <v>TS
Pb-rich</v>
      </c>
      <c r="K58" s="88">
        <f>I52-L52-C53</f>
        <v>-0.21057362350000064</v>
      </c>
      <c r="L58" s="170"/>
      <c r="M58" s="157">
        <f>H58-1.68514</f>
        <v>2.1754651858984304</v>
      </c>
    </row>
    <row r="59" spans="1:19" x14ac:dyDescent="0.15">
      <c r="A59" s="210"/>
      <c r="B59" s="90"/>
      <c r="C59" s="90"/>
      <c r="D59" s="103"/>
      <c r="E59" s="90"/>
      <c r="F59" s="91"/>
      <c r="G59" s="103"/>
      <c r="H59" s="90"/>
      <c r="I59" s="91"/>
      <c r="J59" s="152"/>
      <c r="K59" s="90"/>
      <c r="L59" s="171"/>
      <c r="M59" s="158"/>
    </row>
    <row r="60" spans="1:19" ht="34.5" thickBot="1" x14ac:dyDescent="0.2">
      <c r="A60" s="211"/>
      <c r="B60" s="92"/>
      <c r="C60" s="92"/>
      <c r="D60" s="145"/>
      <c r="E60" s="92"/>
      <c r="F60" s="93"/>
      <c r="G60" s="145"/>
      <c r="H60" s="92"/>
      <c r="I60" s="93"/>
      <c r="J60" s="153"/>
      <c r="K60" s="92"/>
      <c r="L60" s="176"/>
      <c r="M60" s="159"/>
      <c r="N60" s="41" t="s">
        <v>40</v>
      </c>
      <c r="O60" s="42" t="s">
        <v>5</v>
      </c>
      <c r="P60" s="43" t="s">
        <v>3</v>
      </c>
      <c r="Q60" s="44" t="s">
        <v>6</v>
      </c>
    </row>
    <row r="61" spans="1:19" ht="13.5" customHeight="1" x14ac:dyDescent="0.15">
      <c r="A61" s="177" t="str">
        <f t="shared" ref="A61:J61" si="52">A1</f>
        <v>μpb(Pb-poor, Pb-rich)</v>
      </c>
      <c r="B61" s="178"/>
      <c r="C61" s="179"/>
      <c r="D61" s="177" t="str">
        <f t="shared" si="52"/>
        <v>Pb(Bulk)</v>
      </c>
      <c r="E61" s="178"/>
      <c r="F61" s="179"/>
      <c r="G61" s="177" t="s">
        <v>71</v>
      </c>
      <c r="H61" s="178"/>
      <c r="I61" s="179"/>
      <c r="J61" s="177" t="str">
        <f t="shared" si="52"/>
        <v>E(MAPbI3)perfect</v>
      </c>
      <c r="K61" s="178"/>
      <c r="L61" s="179"/>
      <c r="M61" s="264" t="s">
        <v>65</v>
      </c>
      <c r="N61" s="45" t="s">
        <v>9</v>
      </c>
      <c r="O61" s="20">
        <v>-313.32963032125002</v>
      </c>
      <c r="P61" s="20"/>
      <c r="Q61" s="20"/>
    </row>
    <row r="62" spans="1:19" ht="13.5" customHeight="1" x14ac:dyDescent="0.15">
      <c r="A62" s="180"/>
      <c r="B62" s="181"/>
      <c r="C62" s="182"/>
      <c r="D62" s="180"/>
      <c r="E62" s="181"/>
      <c r="F62" s="182"/>
      <c r="G62" s="180"/>
      <c r="H62" s="181"/>
      <c r="I62" s="182"/>
      <c r="J62" s="180"/>
      <c r="K62" s="181"/>
      <c r="L62" s="182"/>
      <c r="M62" s="265"/>
      <c r="N62" s="46" t="s">
        <v>10</v>
      </c>
      <c r="O62" s="20"/>
      <c r="P62" s="47">
        <v>-1659.5921449524999</v>
      </c>
      <c r="Q62" s="20">
        <v>-1659.9066499524999</v>
      </c>
    </row>
    <row r="63" spans="1:19" ht="14.25" customHeight="1" thickBot="1" x14ac:dyDescent="0.2">
      <c r="A63" s="243"/>
      <c r="B63" s="244"/>
      <c r="C63" s="245"/>
      <c r="D63" s="183"/>
      <c r="E63" s="184"/>
      <c r="F63" s="185"/>
      <c r="G63" s="183"/>
      <c r="H63" s="184"/>
      <c r="I63" s="185"/>
      <c r="J63" s="183"/>
      <c r="K63" s="184"/>
      <c r="L63" s="185"/>
      <c r="M63" s="266"/>
      <c r="N63" s="46" t="s">
        <v>39</v>
      </c>
      <c r="O63" s="20">
        <v>-2288.542762303</v>
      </c>
      <c r="P63" s="20">
        <v>-2287.8958423029999</v>
      </c>
      <c r="Q63" s="20"/>
    </row>
    <row r="64" spans="1:19" x14ac:dyDescent="0.15">
      <c r="A64" s="11" t="str">
        <f t="shared" ref="A64:L64" si="53">A4</f>
        <v>MBD</v>
      </c>
      <c r="B64" s="12" t="str">
        <f t="shared" si="53"/>
        <v>PBE</v>
      </c>
      <c r="C64" s="49" t="str">
        <f t="shared" si="53"/>
        <v>TS</v>
      </c>
      <c r="D64" s="150" t="str">
        <f t="shared" si="53"/>
        <v>MBD</v>
      </c>
      <c r="E64" s="145" t="str">
        <f t="shared" si="53"/>
        <v>PBE</v>
      </c>
      <c r="F64" s="135" t="str">
        <f t="shared" si="53"/>
        <v>TS</v>
      </c>
      <c r="G64" s="150" t="str">
        <f t="shared" si="53"/>
        <v>MBD</v>
      </c>
      <c r="H64" s="145" t="str">
        <f>H4</f>
        <v>PBE</v>
      </c>
      <c r="I64" s="135" t="str">
        <f t="shared" si="53"/>
        <v>TS</v>
      </c>
      <c r="J64" s="150" t="str">
        <f t="shared" si="53"/>
        <v>MBD</v>
      </c>
      <c r="K64" s="145" t="str">
        <f t="shared" si="53"/>
        <v>PBE</v>
      </c>
      <c r="L64" s="135" t="str">
        <f t="shared" si="53"/>
        <v>TS</v>
      </c>
      <c r="M64" s="157">
        <f>B70+2*1.68514</f>
        <v>4.1548412445461924</v>
      </c>
      <c r="N64" s="48" t="s">
        <v>80</v>
      </c>
      <c r="O64" s="20">
        <f>O63-P62-2*O61</f>
        <v>-2.2913567080000803</v>
      </c>
      <c r="P64" s="20"/>
      <c r="Q64" s="20">
        <f>O63-Q62-2*O61</f>
        <v>-1.9768517080000265</v>
      </c>
    </row>
    <row r="65" spans="1:21" x14ac:dyDescent="0.15">
      <c r="A65" s="251">
        <f t="shared" ref="A65:C65" si="54">A5</f>
        <v>-0.23084000499999993</v>
      </c>
      <c r="B65" s="92">
        <f>P10</f>
        <v>-568161.34678290912</v>
      </c>
      <c r="C65" s="99">
        <f t="shared" si="54"/>
        <v>-0.16990864924999999</v>
      </c>
      <c r="D65" s="195"/>
      <c r="E65" s="189"/>
      <c r="F65" s="161"/>
      <c r="G65" s="195"/>
      <c r="H65" s="189"/>
      <c r="I65" s="161"/>
      <c r="J65" s="195"/>
      <c r="K65" s="189"/>
      <c r="L65" s="161"/>
      <c r="M65" s="158"/>
      <c r="N65" s="46" t="s">
        <v>8</v>
      </c>
      <c r="O65" s="20">
        <v>-521.05269188600005</v>
      </c>
      <c r="P65" s="20"/>
      <c r="Q65" s="20"/>
    </row>
    <row r="66" spans="1:21" ht="14.25" thickBot="1" x14ac:dyDescent="0.2">
      <c r="A66" s="260"/>
      <c r="B66" s="258"/>
      <c r="C66" s="242"/>
      <c r="D66" s="196"/>
      <c r="E66" s="188"/>
      <c r="F66" s="160"/>
      <c r="G66" s="196"/>
      <c r="H66" s="188"/>
      <c r="I66" s="160"/>
      <c r="J66" s="196"/>
      <c r="K66" s="188"/>
      <c r="L66" s="160"/>
      <c r="M66" s="159"/>
      <c r="N66" s="46" t="s">
        <v>9</v>
      </c>
      <c r="O66" s="20"/>
      <c r="P66" s="20"/>
      <c r="Q66" s="20"/>
    </row>
    <row r="67" spans="1:21" x14ac:dyDescent="0.15">
      <c r="A67" s="13" t="str">
        <f t="shared" ref="A67:L67" si="55">A7</f>
        <v>MBD</v>
      </c>
      <c r="B67" s="14" t="str">
        <f t="shared" si="55"/>
        <v>PBE</v>
      </c>
      <c r="C67" s="50" t="str">
        <f t="shared" si="55"/>
        <v>TS</v>
      </c>
      <c r="D67" s="150">
        <f>D7</f>
        <v>-0.42958807249999997</v>
      </c>
      <c r="E67" s="145">
        <f t="shared" si="55"/>
        <v>-568159.27279550501</v>
      </c>
      <c r="F67" s="135">
        <f t="shared" si="55"/>
        <v>-0.29545744750000003</v>
      </c>
      <c r="G67" s="187">
        <f>-9.32434297</f>
        <v>-9.32434297</v>
      </c>
      <c r="H67" s="105">
        <f>-9781755.88533805-(-9.32434297)</f>
        <v>-9781746.5609950796</v>
      </c>
      <c r="I67" s="102">
        <f>-9.156421981</f>
        <v>-9.1564219809999994</v>
      </c>
      <c r="J67" s="187">
        <f t="shared" si="55"/>
        <v>-8.9407424599999992</v>
      </c>
      <c r="K67" s="105">
        <f t="shared" si="55"/>
        <v>-9213597.55413392</v>
      </c>
      <c r="L67" s="102">
        <f t="shared" si="55"/>
        <v>-8.8183975179999994</v>
      </c>
      <c r="M67" s="157">
        <f>H70+2*1.68514</f>
        <v>4.3076017495461931</v>
      </c>
      <c r="N67" s="46" t="s">
        <v>12</v>
      </c>
      <c r="O67" s="20">
        <v>-837.77903000900005</v>
      </c>
      <c r="P67" s="20"/>
      <c r="Q67" s="20"/>
    </row>
    <row r="68" spans="1:21" x14ac:dyDescent="0.15">
      <c r="A68" s="150">
        <f t="shared" ref="A68:C68" si="56">A8</f>
        <v>-0.42958807249999997</v>
      </c>
      <c r="B68" s="145">
        <f>P15</f>
        <v>-568159.27279550501</v>
      </c>
      <c r="C68" s="135">
        <f t="shared" si="56"/>
        <v>-0.29545744750000003</v>
      </c>
      <c r="D68" s="195"/>
      <c r="E68" s="189"/>
      <c r="F68" s="161"/>
      <c r="G68" s="197"/>
      <c r="H68" s="155"/>
      <c r="I68" s="133"/>
      <c r="J68" s="197"/>
      <c r="K68" s="155"/>
      <c r="L68" s="133"/>
      <c r="M68" s="158"/>
      <c r="N68" s="48" t="s">
        <v>28</v>
      </c>
      <c r="O68" s="20"/>
      <c r="P68" s="20"/>
      <c r="Q68" s="20"/>
    </row>
    <row r="69" spans="1:21" ht="14.25" thickBot="1" x14ac:dyDescent="0.2">
      <c r="A69" s="241"/>
      <c r="B69" s="228"/>
      <c r="C69" s="221"/>
      <c r="D69" s="241"/>
      <c r="E69" s="228"/>
      <c r="F69" s="221"/>
      <c r="G69" s="198"/>
      <c r="H69" s="156"/>
      <c r="I69" s="134"/>
      <c r="J69" s="198"/>
      <c r="K69" s="156"/>
      <c r="L69" s="134"/>
      <c r="M69" s="159"/>
    </row>
    <row r="70" spans="1:21" ht="13.5" customHeight="1" thickBot="1" x14ac:dyDescent="0.2">
      <c r="A70" s="253" t="str">
        <f t="shared" ref="A70:J70" si="57">A10</f>
        <v>Ef(MBD+PBE)
Pb-poor</v>
      </c>
      <c r="B70" s="136">
        <f>E70+H70</f>
        <v>0.78456124454619203</v>
      </c>
      <c r="C70" s="229"/>
      <c r="D70" s="199" t="str">
        <f t="shared" si="57"/>
        <v>MBD
Pb-poor</v>
      </c>
      <c r="E70" s="136">
        <f>G67-J67-A65</f>
        <v>-0.15276050500000091</v>
      </c>
      <c r="F70" s="229"/>
      <c r="G70" s="199" t="str">
        <f t="shared" si="57"/>
        <v>PBE
Pb-poor</v>
      </c>
      <c r="H70" s="213">
        <f>H67-K67-B65+(2)*(-5.7013)</f>
        <v>0.93732174954619296</v>
      </c>
      <c r="I70" s="214"/>
      <c r="J70" s="199" t="str">
        <f t="shared" si="57"/>
        <v>TS
Pb-poor</v>
      </c>
      <c r="K70" s="136">
        <f>I67-L67-C65</f>
        <v>-0.16811581375000001</v>
      </c>
      <c r="L70" s="137"/>
      <c r="M70" s="157">
        <f>B73+2*1.68514</f>
        <v>2.2796019079288317</v>
      </c>
    </row>
    <row r="71" spans="1:21" x14ac:dyDescent="0.15">
      <c r="A71" s="254"/>
      <c r="B71" s="138"/>
      <c r="C71" s="230"/>
      <c r="D71" s="200"/>
      <c r="E71" s="138"/>
      <c r="F71" s="230"/>
      <c r="G71" s="200"/>
      <c r="H71" s="215"/>
      <c r="I71" s="216"/>
      <c r="J71" s="200"/>
      <c r="K71" s="138"/>
      <c r="L71" s="139"/>
      <c r="M71" s="158"/>
      <c r="N71" s="120" t="s">
        <v>41</v>
      </c>
      <c r="O71" s="120" t="s">
        <v>95</v>
      </c>
      <c r="P71" s="125" t="s">
        <v>96</v>
      </c>
      <c r="Q71" s="125"/>
      <c r="R71" s="120" t="s">
        <v>95</v>
      </c>
      <c r="S71" s="120" t="s">
        <v>96</v>
      </c>
      <c r="T71" s="111" t="s">
        <v>97</v>
      </c>
      <c r="U71" s="111" t="s">
        <v>98</v>
      </c>
    </row>
    <row r="72" spans="1:21" ht="14.25" thickBot="1" x14ac:dyDescent="0.2">
      <c r="A72" s="255"/>
      <c r="B72" s="140"/>
      <c r="C72" s="231"/>
      <c r="D72" s="201"/>
      <c r="E72" s="140"/>
      <c r="F72" s="231"/>
      <c r="G72" s="201"/>
      <c r="H72" s="217"/>
      <c r="I72" s="218"/>
      <c r="J72" s="201"/>
      <c r="K72" s="140"/>
      <c r="L72" s="141"/>
      <c r="M72" s="159"/>
      <c r="N72" s="121"/>
      <c r="O72" s="121"/>
      <c r="P72" s="126"/>
      <c r="Q72" s="126"/>
      <c r="R72" s="121"/>
      <c r="S72" s="121"/>
      <c r="T72" s="112"/>
      <c r="U72" s="112"/>
    </row>
    <row r="73" spans="1:21" ht="13.5" customHeight="1" x14ac:dyDescent="0.15">
      <c r="A73" s="253" t="str">
        <f t="shared" ref="A73:J73" si="58">A13</f>
        <v>Ef(MBD+PBE)
Pb-rich</v>
      </c>
      <c r="B73" s="136">
        <f>E73+H73</f>
        <v>-1.0906780920711685</v>
      </c>
      <c r="C73" s="229"/>
      <c r="D73" s="199" t="str">
        <f t="shared" si="58"/>
        <v>MBD
Pb-rich</v>
      </c>
      <c r="E73" s="136">
        <f>G67-J67-A68</f>
        <v>4.5987562499999135E-2</v>
      </c>
      <c r="F73" s="229"/>
      <c r="G73" s="199" t="str">
        <f t="shared" si="58"/>
        <v>PBE
Pb-rich</v>
      </c>
      <c r="H73" s="213">
        <f>H67-K67-B68+(2)*(-5.7013)</f>
        <v>-1.1366656545711677</v>
      </c>
      <c r="I73" s="214"/>
      <c r="J73" s="199" t="str">
        <f t="shared" si="58"/>
        <v>TS
Pb-rich</v>
      </c>
      <c r="K73" s="136">
        <f>I67-L67-C68</f>
        <v>-4.2567015499999972E-2</v>
      </c>
      <c r="L73" s="137"/>
      <c r="M73" s="157">
        <f>H73+2*1.68514</f>
        <v>2.2336143454288324</v>
      </c>
      <c r="N73" s="121"/>
      <c r="O73" s="121"/>
      <c r="P73" s="126"/>
      <c r="Q73" s="127"/>
      <c r="R73" s="121"/>
      <c r="S73" s="121"/>
      <c r="T73" s="112"/>
      <c r="U73" s="112"/>
    </row>
    <row r="74" spans="1:21" x14ac:dyDescent="0.15">
      <c r="A74" s="254"/>
      <c r="B74" s="138"/>
      <c r="C74" s="230"/>
      <c r="D74" s="200"/>
      <c r="E74" s="138"/>
      <c r="F74" s="230"/>
      <c r="G74" s="200"/>
      <c r="H74" s="215"/>
      <c r="I74" s="216"/>
      <c r="J74" s="200"/>
      <c r="K74" s="138"/>
      <c r="L74" s="139"/>
      <c r="M74" s="158"/>
      <c r="N74" s="121" t="s">
        <v>42</v>
      </c>
      <c r="O74" s="130">
        <f>H13</f>
        <v>0.40016274604249702</v>
      </c>
      <c r="P74" s="117">
        <f>H10</f>
        <v>2.4741501501598577</v>
      </c>
      <c r="Q74" s="128">
        <f>P74-O74</f>
        <v>2.0739874041173607</v>
      </c>
      <c r="R74" s="114">
        <v>2.69</v>
      </c>
      <c r="S74" s="117">
        <v>0.47</v>
      </c>
      <c r="T74" s="113">
        <f>O74-R74</f>
        <v>-2.2898372539575029</v>
      </c>
      <c r="U74" s="113">
        <f>P74-S74</f>
        <v>2.004150150159858</v>
      </c>
    </row>
    <row r="75" spans="1:21" ht="14.25" thickBot="1" x14ac:dyDescent="0.2">
      <c r="A75" s="255"/>
      <c r="B75" s="140"/>
      <c r="C75" s="231"/>
      <c r="D75" s="201"/>
      <c r="E75" s="140"/>
      <c r="F75" s="231"/>
      <c r="G75" s="201"/>
      <c r="H75" s="217"/>
      <c r="I75" s="218"/>
      <c r="J75" s="201"/>
      <c r="K75" s="140"/>
      <c r="L75" s="141"/>
      <c r="M75" s="159"/>
      <c r="N75" s="121"/>
      <c r="O75" s="130"/>
      <c r="P75" s="117"/>
      <c r="Q75" s="129"/>
      <c r="R75" s="114"/>
      <c r="S75" s="117"/>
      <c r="T75" s="113"/>
      <c r="U75" s="113"/>
    </row>
    <row r="76" spans="1:21" ht="13.5" customHeight="1" x14ac:dyDescent="0.15">
      <c r="A76" s="259" t="str">
        <f t="shared" ref="A76:J76" si="59">A16</f>
        <v>μI(I-poor, I-rich)</v>
      </c>
      <c r="B76" s="66"/>
      <c r="C76" s="66"/>
      <c r="D76" s="67" t="str">
        <f t="shared" si="59"/>
        <v>I(Bulk)</v>
      </c>
      <c r="E76" s="68"/>
      <c r="F76" s="69"/>
      <c r="G76" s="67" t="s">
        <v>74</v>
      </c>
      <c r="H76" s="68"/>
      <c r="I76" s="69"/>
      <c r="J76" s="67" t="str">
        <f t="shared" si="59"/>
        <v>E(MAPbI3)perfect</v>
      </c>
      <c r="K76" s="68"/>
      <c r="L76" s="76"/>
      <c r="M76" s="264" t="s">
        <v>65</v>
      </c>
      <c r="N76" s="121"/>
      <c r="O76" s="130"/>
      <c r="P76" s="118"/>
      <c r="Q76" s="129"/>
      <c r="R76" s="114"/>
      <c r="S76" s="117"/>
      <c r="T76" s="113"/>
      <c r="U76" s="113"/>
    </row>
    <row r="77" spans="1:21" ht="13.5" customHeight="1" x14ac:dyDescent="0.15">
      <c r="A77" s="66"/>
      <c r="B77" s="66"/>
      <c r="C77" s="66"/>
      <c r="D77" s="70"/>
      <c r="E77" s="71"/>
      <c r="F77" s="72"/>
      <c r="G77" s="70"/>
      <c r="H77" s="71"/>
      <c r="I77" s="72"/>
      <c r="J77" s="70"/>
      <c r="K77" s="71"/>
      <c r="L77" s="77"/>
      <c r="M77" s="265"/>
      <c r="N77" s="121" t="s">
        <v>99</v>
      </c>
      <c r="O77" s="117">
        <f>H25</f>
        <v>1.7002049167617503</v>
      </c>
      <c r="P77" s="117">
        <f>H28</f>
        <v>0.66321121470306998</v>
      </c>
      <c r="Q77" s="128">
        <f>O77-P77</f>
        <v>1.0369937020586804</v>
      </c>
      <c r="R77" s="114">
        <v>0.87</v>
      </c>
      <c r="S77" s="117">
        <v>2.04</v>
      </c>
      <c r="T77" s="113">
        <f>O77-R77</f>
        <v>0.83020491676175034</v>
      </c>
      <c r="U77" s="113">
        <f>P77-S77</f>
        <v>-1.3767887852969301</v>
      </c>
    </row>
    <row r="78" spans="1:21" ht="14.25" customHeight="1" thickBot="1" x14ac:dyDescent="0.2">
      <c r="A78" s="66"/>
      <c r="B78" s="66"/>
      <c r="C78" s="66"/>
      <c r="D78" s="73"/>
      <c r="E78" s="74"/>
      <c r="F78" s="75"/>
      <c r="G78" s="73"/>
      <c r="H78" s="74"/>
      <c r="I78" s="75"/>
      <c r="J78" s="73"/>
      <c r="K78" s="74"/>
      <c r="L78" s="78"/>
      <c r="M78" s="266"/>
      <c r="N78" s="117"/>
      <c r="O78" s="117"/>
      <c r="P78" s="117"/>
      <c r="Q78" s="129"/>
      <c r="R78" s="114"/>
      <c r="S78" s="117"/>
      <c r="T78" s="113"/>
      <c r="U78" s="113"/>
    </row>
    <row r="79" spans="1:21" x14ac:dyDescent="0.15">
      <c r="A79" s="11" t="str">
        <f t="shared" ref="A79:L80" si="60">A19</f>
        <v>MBD</v>
      </c>
      <c r="B79" s="12" t="str">
        <f t="shared" si="60"/>
        <v>PBE</v>
      </c>
      <c r="C79" s="49" t="str">
        <f t="shared" si="60"/>
        <v>TS</v>
      </c>
      <c r="D79" s="149" t="str">
        <f t="shared" si="60"/>
        <v>MBD</v>
      </c>
      <c r="E79" s="103" t="str">
        <f t="shared" si="60"/>
        <v>PBE</v>
      </c>
      <c r="F79" s="106" t="str">
        <f t="shared" si="60"/>
        <v>TS</v>
      </c>
      <c r="G79" s="149" t="str">
        <f t="shared" si="60"/>
        <v>MBD</v>
      </c>
      <c r="H79" s="103" t="str">
        <f>H19</f>
        <v>PBE</v>
      </c>
      <c r="I79" s="106" t="str">
        <f t="shared" si="60"/>
        <v>TS</v>
      </c>
      <c r="J79" s="149" t="str">
        <f t="shared" si="60"/>
        <v>MBD</v>
      </c>
      <c r="K79" s="103" t="str">
        <f t="shared" si="60"/>
        <v>PBE</v>
      </c>
      <c r="L79" s="100" t="str">
        <f t="shared" si="60"/>
        <v>TS</v>
      </c>
      <c r="M79" s="157">
        <f>B85-1.68514</f>
        <v>0.65506088418649133</v>
      </c>
      <c r="N79" s="117"/>
      <c r="O79" s="117"/>
      <c r="P79" s="118"/>
      <c r="Q79" s="129"/>
      <c r="R79" s="114"/>
      <c r="S79" s="117"/>
      <c r="T79" s="113"/>
      <c r="U79" s="113"/>
    </row>
    <row r="80" spans="1:21" x14ac:dyDescent="0.15">
      <c r="A80" s="250">
        <f t="shared" si="60"/>
        <v>-9.5804887499999977E-2</v>
      </c>
      <c r="B80" s="90">
        <f t="shared" si="60"/>
        <v>-193638.79063727582</v>
      </c>
      <c r="C80" s="232">
        <f>C20</f>
        <v>-0.14826496087499999</v>
      </c>
      <c r="D80" s="149"/>
      <c r="E80" s="103"/>
      <c r="F80" s="106"/>
      <c r="G80" s="149"/>
      <c r="H80" s="103"/>
      <c r="I80" s="106"/>
      <c r="J80" s="149"/>
      <c r="K80" s="103"/>
      <c r="L80" s="100"/>
      <c r="M80" s="158"/>
      <c r="N80" s="121" t="s">
        <v>100</v>
      </c>
      <c r="O80" s="117">
        <f>H25</f>
        <v>1.7002049167617503</v>
      </c>
      <c r="P80" s="122">
        <f>H28</f>
        <v>0.66321121470306998</v>
      </c>
      <c r="Q80" s="128">
        <f>O80-P80</f>
        <v>1.0369937020586804</v>
      </c>
      <c r="R80" s="114">
        <v>0.85</v>
      </c>
      <c r="S80" s="117">
        <v>2.0499999999999998</v>
      </c>
      <c r="T80" s="113">
        <f>O80-R80</f>
        <v>0.85020491676175036</v>
      </c>
      <c r="U80" s="113">
        <f>P80-S80</f>
        <v>-1.3867887852969298</v>
      </c>
    </row>
    <row r="81" spans="1:21" ht="14.25" thickBot="1" x14ac:dyDescent="0.2">
      <c r="A81" s="251"/>
      <c r="B81" s="92"/>
      <c r="C81" s="233"/>
      <c r="D81" s="150"/>
      <c r="E81" s="145"/>
      <c r="F81" s="109"/>
      <c r="G81" s="150"/>
      <c r="H81" s="145"/>
      <c r="I81" s="109"/>
      <c r="J81" s="150"/>
      <c r="K81" s="145"/>
      <c r="L81" s="135"/>
      <c r="M81" s="159"/>
      <c r="N81" s="121"/>
      <c r="O81" s="117"/>
      <c r="P81" s="117"/>
      <c r="Q81" s="129"/>
      <c r="R81" s="114"/>
      <c r="S81" s="117"/>
      <c r="T81" s="113"/>
      <c r="U81" s="113"/>
    </row>
    <row r="82" spans="1:21" x14ac:dyDescent="0.15">
      <c r="A82" s="13" t="str">
        <f t="shared" ref="A82:L83" si="61">A22</f>
        <v>MBD</v>
      </c>
      <c r="B82" s="14" t="str">
        <f t="shared" si="61"/>
        <v>PBE</v>
      </c>
      <c r="C82" s="53" t="str">
        <f t="shared" si="61"/>
        <v>TS</v>
      </c>
      <c r="D82" s="210">
        <f t="shared" si="61"/>
        <v>-0.19517892125</v>
      </c>
      <c r="E82" s="152">
        <f t="shared" si="61"/>
        <v>-193637.75364357376</v>
      </c>
      <c r="F82" s="106">
        <f t="shared" si="61"/>
        <v>-0.21103936000000001</v>
      </c>
      <c r="G82" s="210">
        <f>-9.40664792</f>
        <v>-9.4066479199999993</v>
      </c>
      <c r="H82" s="152">
        <f>-9407248.96295766-(-9.40664792)</f>
        <v>-9407239.5563097391</v>
      </c>
      <c r="I82" s="106">
        <f>-9.157130902</f>
        <v>-9.1571309020000005</v>
      </c>
      <c r="J82" s="149">
        <f t="shared" si="61"/>
        <v>-8.9407424599999992</v>
      </c>
      <c r="K82" s="103">
        <f t="shared" si="61"/>
        <v>-9213597.55413392</v>
      </c>
      <c r="L82" s="100">
        <f t="shared" si="61"/>
        <v>-8.8183975179999994</v>
      </c>
      <c r="M82" s="157">
        <f>H85-1.68514</f>
        <v>1.0251614566864915</v>
      </c>
      <c r="N82" s="121"/>
      <c r="O82" s="117"/>
      <c r="P82" s="117"/>
      <c r="Q82" s="129"/>
      <c r="R82" s="114"/>
      <c r="S82" s="117"/>
      <c r="T82" s="113"/>
      <c r="U82" s="113"/>
    </row>
    <row r="83" spans="1:21" x14ac:dyDescent="0.15">
      <c r="A83" s="149">
        <f t="shared" si="61"/>
        <v>-0.19517892125</v>
      </c>
      <c r="B83" s="103">
        <f>B23</f>
        <v>-193637.75364357376</v>
      </c>
      <c r="C83" s="234">
        <f t="shared" si="61"/>
        <v>-0.21103936000000001</v>
      </c>
      <c r="D83" s="210"/>
      <c r="E83" s="152"/>
      <c r="F83" s="106"/>
      <c r="G83" s="210"/>
      <c r="H83" s="152"/>
      <c r="I83" s="106"/>
      <c r="J83" s="149"/>
      <c r="K83" s="103"/>
      <c r="L83" s="100"/>
      <c r="M83" s="158"/>
      <c r="N83" s="121" t="s">
        <v>43</v>
      </c>
      <c r="O83" s="117">
        <f>H43</f>
        <v>-7.4241042139790991E-2</v>
      </c>
      <c r="P83" s="117">
        <f>H40</f>
        <v>0.96275265991888936</v>
      </c>
      <c r="Q83" s="128">
        <f>P83-O83</f>
        <v>1.0369937020586804</v>
      </c>
      <c r="R83" s="114">
        <v>1.91</v>
      </c>
      <c r="S83" s="117">
        <v>0.62</v>
      </c>
      <c r="T83" s="113">
        <f>O83-R83</f>
        <v>-1.9842410421397909</v>
      </c>
      <c r="U83" s="113">
        <f>P83-S83</f>
        <v>0.34275265991888937</v>
      </c>
    </row>
    <row r="84" spans="1:21" ht="14.25" thickBot="1" x14ac:dyDescent="0.2">
      <c r="A84" s="150"/>
      <c r="B84" s="145"/>
      <c r="C84" s="235"/>
      <c r="D84" s="211"/>
      <c r="E84" s="153"/>
      <c r="F84" s="109"/>
      <c r="G84" s="211"/>
      <c r="H84" s="153"/>
      <c r="I84" s="109"/>
      <c r="J84" s="150"/>
      <c r="K84" s="145"/>
      <c r="L84" s="135"/>
      <c r="M84" s="159"/>
      <c r="N84" s="121"/>
      <c r="O84" s="117"/>
      <c r="P84" s="117"/>
      <c r="Q84" s="129"/>
      <c r="R84" s="114"/>
      <c r="S84" s="117"/>
      <c r="T84" s="113"/>
      <c r="U84" s="113"/>
    </row>
    <row r="85" spans="1:21" ht="13.5" customHeight="1" x14ac:dyDescent="0.15">
      <c r="A85" s="252" t="str">
        <f t="shared" ref="A85:J85" si="62">A25</f>
        <v>Ef(MBD+PBE)
I-poor</v>
      </c>
      <c r="B85" s="142">
        <f>E85+H85</f>
        <v>2.3402008841864914</v>
      </c>
      <c r="C85" s="219"/>
      <c r="D85" s="212" t="str">
        <f t="shared" si="62"/>
        <v>MBD
I-poor</v>
      </c>
      <c r="E85" s="142">
        <f>G82-J82-A80</f>
        <v>-0.37010057250000011</v>
      </c>
      <c r="F85" s="219"/>
      <c r="G85" s="151" t="str">
        <f t="shared" si="62"/>
        <v>PBE
I-poor</v>
      </c>
      <c r="H85" s="142">
        <f>H82-K82-B80+(-1)*(-5.92184)</f>
        <v>2.7103014566864916</v>
      </c>
      <c r="I85" s="219"/>
      <c r="J85" s="151" t="str">
        <f t="shared" si="62"/>
        <v>TS
I-poor</v>
      </c>
      <c r="K85" s="142">
        <f>I82-L82-C80</f>
        <v>-0.19046842312500109</v>
      </c>
      <c r="L85" s="143"/>
      <c r="M85" s="157">
        <f>B88-1.68514</f>
        <v>-0.28255878412218882</v>
      </c>
      <c r="N85" s="121"/>
      <c r="O85" s="117"/>
      <c r="P85" s="117"/>
      <c r="Q85" s="129"/>
      <c r="R85" s="114"/>
      <c r="S85" s="117"/>
      <c r="T85" s="113"/>
      <c r="U85" s="113"/>
    </row>
    <row r="86" spans="1:21" x14ac:dyDescent="0.15">
      <c r="A86" s="149"/>
      <c r="B86" s="103"/>
      <c r="C86" s="152"/>
      <c r="D86" s="103"/>
      <c r="E86" s="103"/>
      <c r="F86" s="152"/>
      <c r="G86" s="152"/>
      <c r="H86" s="103"/>
      <c r="I86" s="152"/>
      <c r="J86" s="152"/>
      <c r="K86" s="103"/>
      <c r="L86" s="144"/>
      <c r="M86" s="158"/>
      <c r="N86" s="121" t="s">
        <v>101</v>
      </c>
      <c r="O86" s="117">
        <f>H58</f>
        <v>3.8606051858984305</v>
      </c>
      <c r="P86" s="117">
        <f>H40</f>
        <v>0.96275265991888936</v>
      </c>
      <c r="Q86" s="128">
        <f>P86-O86</f>
        <v>-2.8978525259795411</v>
      </c>
      <c r="R86" s="114">
        <v>1.1200000000000001</v>
      </c>
      <c r="S86" s="117">
        <v>2.4300000000000002</v>
      </c>
      <c r="T86" s="110"/>
      <c r="U86" s="110"/>
    </row>
    <row r="87" spans="1:21" ht="14.25" thickBot="1" x14ac:dyDescent="0.2">
      <c r="A87" s="150"/>
      <c r="B87" s="145"/>
      <c r="C87" s="153"/>
      <c r="D87" s="145"/>
      <c r="E87" s="145"/>
      <c r="F87" s="153"/>
      <c r="G87" s="153"/>
      <c r="H87" s="145"/>
      <c r="I87" s="153"/>
      <c r="J87" s="153"/>
      <c r="K87" s="145"/>
      <c r="L87" s="146"/>
      <c r="M87" s="159"/>
      <c r="N87" s="121"/>
      <c r="O87" s="117"/>
      <c r="P87" s="117"/>
      <c r="Q87" s="129"/>
      <c r="R87" s="114"/>
      <c r="S87" s="117"/>
      <c r="T87" s="110"/>
      <c r="U87" s="110"/>
    </row>
    <row r="88" spans="1:21" ht="13.5" customHeight="1" x14ac:dyDescent="0.15">
      <c r="A88" s="120" t="str">
        <f t="shared" ref="A88:J88" si="63">A28</f>
        <v>Ef(MBD+PBE)
I-rich</v>
      </c>
      <c r="B88" s="142">
        <f>E88+H88</f>
        <v>1.4025812158778113</v>
      </c>
      <c r="C88" s="142"/>
      <c r="D88" s="212" t="str">
        <f t="shared" si="63"/>
        <v>MBD
I-rich</v>
      </c>
      <c r="E88" s="142">
        <f>G82-J82-A83</f>
        <v>-0.27072653875000008</v>
      </c>
      <c r="F88" s="219"/>
      <c r="G88" s="212" t="str">
        <f t="shared" si="63"/>
        <v>PBE
I-rich</v>
      </c>
      <c r="H88" s="142">
        <f>H82-K82-B83+(-1)*(-5.92184)</f>
        <v>1.6733077546278112</v>
      </c>
      <c r="I88" s="219"/>
      <c r="J88" s="151" t="str">
        <f t="shared" si="63"/>
        <v>TS
I-rich</v>
      </c>
      <c r="K88" s="142">
        <f>I82-L82-C83</f>
        <v>-0.12769402400000107</v>
      </c>
      <c r="L88" s="143"/>
      <c r="M88" s="157">
        <f>H88-1.68514</f>
        <v>-1.1832245372188854E-2</v>
      </c>
      <c r="N88" s="121"/>
      <c r="O88" s="117"/>
      <c r="P88" s="118"/>
      <c r="Q88" s="129"/>
      <c r="R88" s="114"/>
      <c r="S88" s="118"/>
      <c r="T88" s="110"/>
      <c r="U88" s="110"/>
    </row>
    <row r="89" spans="1:21" x14ac:dyDescent="0.15">
      <c r="A89" s="210"/>
      <c r="B89" s="103"/>
      <c r="C89" s="103"/>
      <c r="D89" s="103"/>
      <c r="E89" s="103"/>
      <c r="F89" s="152"/>
      <c r="G89" s="103"/>
      <c r="H89" s="103"/>
      <c r="I89" s="152"/>
      <c r="J89" s="152"/>
      <c r="K89" s="103"/>
      <c r="L89" s="144"/>
      <c r="M89" s="158"/>
      <c r="N89" s="121" t="s">
        <v>102</v>
      </c>
      <c r="O89" s="130">
        <f>H13</f>
        <v>0.40016274604249702</v>
      </c>
      <c r="P89" s="130">
        <f>H10</f>
        <v>2.4741501501598577</v>
      </c>
      <c r="Q89" s="128">
        <f>P89-O89</f>
        <v>2.0739874041173607</v>
      </c>
      <c r="R89" s="114">
        <v>1.05</v>
      </c>
      <c r="S89" s="117">
        <v>3.27</v>
      </c>
      <c r="T89" s="110"/>
      <c r="U89" s="110"/>
    </row>
    <row r="90" spans="1:21" ht="14.25" thickBot="1" x14ac:dyDescent="0.2">
      <c r="A90" s="249"/>
      <c r="B90" s="147"/>
      <c r="C90" s="147"/>
      <c r="D90" s="147"/>
      <c r="E90" s="147"/>
      <c r="F90" s="154"/>
      <c r="G90" s="147"/>
      <c r="H90" s="147"/>
      <c r="I90" s="154"/>
      <c r="J90" s="154"/>
      <c r="K90" s="147"/>
      <c r="L90" s="148"/>
      <c r="M90" s="159"/>
      <c r="N90" s="121"/>
      <c r="O90" s="130"/>
      <c r="P90" s="130"/>
      <c r="Q90" s="129"/>
      <c r="R90" s="114"/>
      <c r="S90" s="117"/>
      <c r="T90" s="110"/>
      <c r="U90" s="110"/>
    </row>
    <row r="91" spans="1:21" ht="13.5" customHeight="1" x14ac:dyDescent="0.15">
      <c r="A91" s="162" t="s">
        <v>84</v>
      </c>
      <c r="B91" s="163"/>
      <c r="C91" s="202"/>
      <c r="D91" s="162" t="s">
        <v>1</v>
      </c>
      <c r="E91" s="163"/>
      <c r="F91" s="202"/>
      <c r="G91" s="162" t="s">
        <v>73</v>
      </c>
      <c r="H91" s="163"/>
      <c r="I91" s="202"/>
      <c r="J91" s="162" t="s">
        <v>76</v>
      </c>
      <c r="K91" s="163"/>
      <c r="L91" s="164"/>
      <c r="M91" s="264" t="s">
        <v>64</v>
      </c>
      <c r="N91" s="121"/>
      <c r="O91" s="130"/>
      <c r="P91" s="130"/>
      <c r="Q91" s="129"/>
      <c r="R91" s="114"/>
      <c r="S91" s="117"/>
      <c r="T91" s="110"/>
      <c r="U91" s="110"/>
    </row>
    <row r="92" spans="1:21" x14ac:dyDescent="0.15">
      <c r="A92" s="70"/>
      <c r="B92" s="71"/>
      <c r="C92" s="72"/>
      <c r="D92" s="70"/>
      <c r="E92" s="71"/>
      <c r="F92" s="72"/>
      <c r="G92" s="70"/>
      <c r="H92" s="71"/>
      <c r="I92" s="72"/>
      <c r="J92" s="70"/>
      <c r="K92" s="71"/>
      <c r="L92" s="77"/>
      <c r="M92" s="265"/>
      <c r="N92" s="121" t="s">
        <v>103</v>
      </c>
      <c r="O92" s="130">
        <f>H25</f>
        <v>1.7002049167617503</v>
      </c>
      <c r="P92" s="131">
        <f>H28</f>
        <v>0.66321121470306998</v>
      </c>
      <c r="Q92" s="128">
        <f>O92-P92</f>
        <v>1.0369937020586804</v>
      </c>
      <c r="R92" s="114">
        <v>1.75</v>
      </c>
      <c r="S92" s="122">
        <v>0.56999999999999995</v>
      </c>
      <c r="T92" s="110"/>
      <c r="U92" s="110"/>
    </row>
    <row r="93" spans="1:21" ht="14.25" thickBot="1" x14ac:dyDescent="0.2">
      <c r="A93" s="73"/>
      <c r="B93" s="74"/>
      <c r="C93" s="75"/>
      <c r="D93" s="165"/>
      <c r="E93" s="166"/>
      <c r="F93" s="203"/>
      <c r="G93" s="165"/>
      <c r="H93" s="166"/>
      <c r="I93" s="203"/>
      <c r="J93" s="165"/>
      <c r="K93" s="166"/>
      <c r="L93" s="167"/>
      <c r="M93" s="266"/>
      <c r="N93" s="121"/>
      <c r="O93" s="130"/>
      <c r="P93" s="130"/>
      <c r="Q93" s="129"/>
      <c r="R93" s="114"/>
      <c r="S93" s="117"/>
      <c r="T93" s="110"/>
      <c r="U93" s="110"/>
    </row>
    <row r="94" spans="1:21" x14ac:dyDescent="0.15">
      <c r="A94" s="11" t="str">
        <f t="shared" ref="A94:C98" si="64">A34</f>
        <v>MBD</v>
      </c>
      <c r="B94" s="12" t="str">
        <f t="shared" si="64"/>
        <v>PBE</v>
      </c>
      <c r="C94" s="49" t="str">
        <f t="shared" si="64"/>
        <v>TS</v>
      </c>
      <c r="D94" s="270" t="s">
        <v>110</v>
      </c>
      <c r="E94" s="271" t="s">
        <v>3</v>
      </c>
      <c r="F94" s="272" t="s">
        <v>4</v>
      </c>
      <c r="G94" s="193" t="s">
        <v>110</v>
      </c>
      <c r="H94" s="188" t="s">
        <v>3</v>
      </c>
      <c r="I94" s="220" t="s">
        <v>4</v>
      </c>
      <c r="J94" s="193" t="s">
        <v>110</v>
      </c>
      <c r="K94" s="188" t="s">
        <v>3</v>
      </c>
      <c r="L94" s="160" t="s">
        <v>4</v>
      </c>
      <c r="M94" s="267">
        <f>B100+2*1.68514</f>
        <v>4.0693043493529437</v>
      </c>
      <c r="N94" s="121"/>
      <c r="O94" s="130"/>
      <c r="P94" s="130"/>
      <c r="Q94" s="129"/>
      <c r="R94" s="114"/>
      <c r="S94" s="117"/>
      <c r="T94" s="110"/>
      <c r="U94" s="110"/>
    </row>
    <row r="95" spans="1:21" x14ac:dyDescent="0.15">
      <c r="A95" s="251">
        <f t="shared" si="64"/>
        <v>-0.30121603875000003</v>
      </c>
      <c r="B95" s="92">
        <f t="shared" si="64"/>
        <v>-2625.0865531095769</v>
      </c>
      <c r="C95" s="99">
        <f t="shared" si="64"/>
        <v>-0.29927296049999996</v>
      </c>
      <c r="D95" s="195"/>
      <c r="E95" s="189"/>
      <c r="F95" s="161"/>
      <c r="G95" s="149"/>
      <c r="H95" s="103"/>
      <c r="I95" s="106"/>
      <c r="J95" s="149"/>
      <c r="K95" s="103"/>
      <c r="L95" s="100"/>
      <c r="M95" s="268"/>
      <c r="N95" s="121" t="s">
        <v>104</v>
      </c>
      <c r="O95" s="117"/>
      <c r="P95" s="117"/>
      <c r="Q95" s="128"/>
      <c r="R95" s="114" t="s">
        <v>44</v>
      </c>
      <c r="S95" s="117" t="s">
        <v>45</v>
      </c>
      <c r="T95" s="110"/>
      <c r="U95" s="110"/>
    </row>
    <row r="96" spans="1:21" ht="14.25" thickBot="1" x14ac:dyDescent="0.2">
      <c r="A96" s="260"/>
      <c r="B96" s="258"/>
      <c r="C96" s="242"/>
      <c r="D96" s="196"/>
      <c r="E96" s="188"/>
      <c r="F96" s="160"/>
      <c r="G96" s="149"/>
      <c r="H96" s="103"/>
      <c r="I96" s="106"/>
      <c r="J96" s="149"/>
      <c r="K96" s="103"/>
      <c r="L96" s="100"/>
      <c r="M96" s="269"/>
      <c r="N96" s="121"/>
      <c r="O96" s="117"/>
      <c r="P96" s="117"/>
      <c r="Q96" s="129"/>
      <c r="R96" s="114"/>
      <c r="S96" s="117"/>
      <c r="T96" s="110"/>
      <c r="U96" s="110"/>
    </row>
    <row r="97" spans="1:21" x14ac:dyDescent="0.15">
      <c r="A97" s="13" t="str">
        <f t="shared" si="64"/>
        <v>MBD</v>
      </c>
      <c r="B97" s="14" t="str">
        <f t="shared" si="64"/>
        <v>PBE</v>
      </c>
      <c r="C97" s="50" t="str">
        <f t="shared" si="64"/>
        <v>TS</v>
      </c>
      <c r="D97" s="149">
        <f>-0.27401/4</f>
        <v>-6.8502499999999994E-2</v>
      </c>
      <c r="E97" s="103">
        <f>-2083.936757544/4</f>
        <v>-520.98418938600003</v>
      </c>
      <c r="F97" s="106">
        <f>-0.2787/4</f>
        <v>-6.9675000000000001E-2</v>
      </c>
      <c r="G97" s="186">
        <f>-9.60234965</f>
        <v>-9.6023496500000007</v>
      </c>
      <c r="H97" s="104">
        <f>-9216219.39384118-(-9.60234965)</f>
        <v>-9216209.791491529</v>
      </c>
      <c r="I97" s="107">
        <f>-9.393573002</f>
        <v>-9.3935730020000001</v>
      </c>
      <c r="J97" s="186">
        <f t="shared" ref="J97:L97" si="65">J67</f>
        <v>-8.9407424599999992</v>
      </c>
      <c r="K97" s="104">
        <f t="shared" si="65"/>
        <v>-9213597.55413392</v>
      </c>
      <c r="L97" s="101">
        <f t="shared" si="65"/>
        <v>-8.8183975179999994</v>
      </c>
      <c r="M97" s="157">
        <f>H100+2*1.68514</f>
        <v>4.4296955006029455</v>
      </c>
      <c r="N97" s="132"/>
      <c r="O97" s="117"/>
      <c r="P97" s="118"/>
      <c r="Q97" s="129"/>
      <c r="R97" s="114"/>
      <c r="S97" s="118"/>
      <c r="T97" s="110"/>
      <c r="U97" s="110"/>
    </row>
    <row r="98" spans="1:21" x14ac:dyDescent="0.15">
      <c r="A98" s="150">
        <f t="shared" si="64"/>
        <v>-0.40059007250000001</v>
      </c>
      <c r="B98" s="145">
        <f t="shared" si="64"/>
        <v>-2624.0495594075182</v>
      </c>
      <c r="C98" s="135">
        <f t="shared" si="64"/>
        <v>-0.3620473596249999</v>
      </c>
      <c r="D98" s="149"/>
      <c r="E98" s="103"/>
      <c r="F98" s="106"/>
      <c r="G98" s="186"/>
      <c r="H98" s="104"/>
      <c r="I98" s="107"/>
      <c r="J98" s="186"/>
      <c r="K98" s="104"/>
      <c r="L98" s="101"/>
      <c r="M98" s="158"/>
      <c r="N98" s="121" t="s">
        <v>105</v>
      </c>
      <c r="O98" s="117"/>
      <c r="P98" s="117"/>
      <c r="Q98" s="128"/>
      <c r="R98" s="114">
        <v>1.54</v>
      </c>
      <c r="S98" s="117">
        <v>4.88</v>
      </c>
      <c r="T98" s="110"/>
      <c r="U98" s="110"/>
    </row>
    <row r="99" spans="1:21" ht="14.25" thickBot="1" x14ac:dyDescent="0.2">
      <c r="A99" s="241"/>
      <c r="B99" s="228"/>
      <c r="C99" s="221"/>
      <c r="D99" s="150"/>
      <c r="E99" s="145"/>
      <c r="F99" s="109"/>
      <c r="G99" s="187"/>
      <c r="H99" s="105"/>
      <c r="I99" s="108"/>
      <c r="J99" s="187"/>
      <c r="K99" s="105"/>
      <c r="L99" s="102"/>
      <c r="M99" s="159"/>
      <c r="N99" s="121"/>
      <c r="O99" s="117"/>
      <c r="P99" s="117"/>
      <c r="Q99" s="129"/>
      <c r="R99" s="114"/>
      <c r="S99" s="117"/>
      <c r="T99" s="110"/>
      <c r="U99" s="110"/>
    </row>
    <row r="100" spans="1:21" ht="13.5" customHeight="1" x14ac:dyDescent="0.15">
      <c r="A100" s="246" t="s">
        <v>123</v>
      </c>
      <c r="B100" s="88">
        <f>E100+H100</f>
        <v>0.69902434935294377</v>
      </c>
      <c r="C100" s="89"/>
      <c r="D100" s="212" t="s">
        <v>13</v>
      </c>
      <c r="E100" s="88">
        <f>G97-J97-A95</f>
        <v>-0.36039115125000154</v>
      </c>
      <c r="F100" s="89"/>
      <c r="G100" s="151" t="s">
        <v>14</v>
      </c>
      <c r="H100" s="88">
        <f>H97-K97-B95+(2)*(-5.89489)</f>
        <v>1.0594155006029453</v>
      </c>
      <c r="I100" s="89"/>
      <c r="J100" s="151" t="s">
        <v>15</v>
      </c>
      <c r="K100" s="88">
        <f>I97-L97-C95</f>
        <v>-0.27590252350000077</v>
      </c>
      <c r="L100" s="170"/>
      <c r="M100" s="157">
        <f>B103+2*1.68514</f>
        <v>3.1316846810442636</v>
      </c>
      <c r="N100" s="132"/>
      <c r="O100" s="118"/>
      <c r="P100" s="118"/>
      <c r="Q100" s="129"/>
      <c r="R100" s="115"/>
      <c r="S100" s="118"/>
      <c r="T100" s="110"/>
      <c r="U100" s="110"/>
    </row>
    <row r="101" spans="1:21" x14ac:dyDescent="0.15">
      <c r="A101" s="149"/>
      <c r="B101" s="90"/>
      <c r="C101" s="91"/>
      <c r="D101" s="103"/>
      <c r="E101" s="90"/>
      <c r="F101" s="91"/>
      <c r="G101" s="152"/>
      <c r="H101" s="90"/>
      <c r="I101" s="91"/>
      <c r="J101" s="152"/>
      <c r="K101" s="90"/>
      <c r="L101" s="171"/>
      <c r="M101" s="158"/>
      <c r="N101" s="121" t="s">
        <v>106</v>
      </c>
      <c r="O101" s="121"/>
      <c r="P101" s="121"/>
      <c r="Q101" s="128"/>
      <c r="R101" s="114" t="s">
        <v>46</v>
      </c>
      <c r="S101" s="117" t="s">
        <v>46</v>
      </c>
      <c r="T101" s="110"/>
      <c r="U101" s="110"/>
    </row>
    <row r="102" spans="1:21" ht="14.25" thickBot="1" x14ac:dyDescent="0.2">
      <c r="A102" s="247"/>
      <c r="B102" s="172"/>
      <c r="C102" s="208"/>
      <c r="D102" s="147"/>
      <c r="E102" s="172"/>
      <c r="F102" s="208"/>
      <c r="G102" s="154"/>
      <c r="H102" s="172"/>
      <c r="I102" s="208"/>
      <c r="J102" s="154"/>
      <c r="K102" s="172"/>
      <c r="L102" s="173"/>
      <c r="M102" s="159"/>
      <c r="N102" s="121"/>
      <c r="O102" s="121"/>
      <c r="P102" s="121"/>
      <c r="Q102" s="129"/>
      <c r="R102" s="114"/>
      <c r="S102" s="117"/>
      <c r="T102" s="110"/>
      <c r="U102" s="110"/>
    </row>
    <row r="103" spans="1:21" ht="13.5" customHeight="1" x14ac:dyDescent="0.15">
      <c r="A103" s="248" t="s">
        <v>124</v>
      </c>
      <c r="B103" s="174">
        <f>E103+H103</f>
        <v>-0.2385953189557366</v>
      </c>
      <c r="C103" s="174"/>
      <c r="D103" s="212" t="s">
        <v>30</v>
      </c>
      <c r="E103" s="88">
        <f>G97-J97-A98</f>
        <v>-0.26101711750000156</v>
      </c>
      <c r="F103" s="88"/>
      <c r="G103" s="212" t="s">
        <v>31</v>
      </c>
      <c r="H103" s="88">
        <f>H97-K97-B98+(2)*(-5.89489)</f>
        <v>2.2421798544264959E-2</v>
      </c>
      <c r="I103" s="88"/>
      <c r="J103" s="151" t="s">
        <v>32</v>
      </c>
      <c r="K103" s="88">
        <f>I97-L97-C98</f>
        <v>-0.21312812437500084</v>
      </c>
      <c r="L103" s="170"/>
      <c r="M103" s="157">
        <f>H103+2*1.68514</f>
        <v>3.3927017985442651</v>
      </c>
      <c r="N103" s="121"/>
      <c r="O103" s="121"/>
      <c r="P103" s="121"/>
      <c r="Q103" s="129"/>
      <c r="R103" s="114"/>
      <c r="S103" s="117"/>
      <c r="T103" s="110"/>
      <c r="U103" s="110"/>
    </row>
    <row r="104" spans="1:21" x14ac:dyDescent="0.15">
      <c r="A104" s="210"/>
      <c r="B104" s="90"/>
      <c r="C104" s="90"/>
      <c r="D104" s="103"/>
      <c r="E104" s="90"/>
      <c r="F104" s="90"/>
      <c r="G104" s="103"/>
      <c r="H104" s="90"/>
      <c r="I104" s="90"/>
      <c r="J104" s="152"/>
      <c r="K104" s="90"/>
      <c r="L104" s="171"/>
      <c r="M104" s="158"/>
      <c r="N104" s="123" t="s">
        <v>107</v>
      </c>
      <c r="O104" s="123"/>
      <c r="P104" s="123"/>
      <c r="Q104" s="128"/>
      <c r="R104" s="114" t="s">
        <v>46</v>
      </c>
      <c r="S104" s="117" t="s">
        <v>46</v>
      </c>
      <c r="T104" s="110"/>
      <c r="U104" s="110"/>
    </row>
    <row r="105" spans="1:21" ht="14.25" thickBot="1" x14ac:dyDescent="0.2">
      <c r="A105" s="249"/>
      <c r="B105" s="172"/>
      <c r="C105" s="172"/>
      <c r="D105" s="103"/>
      <c r="E105" s="90"/>
      <c r="F105" s="90"/>
      <c r="G105" s="103"/>
      <c r="H105" s="90"/>
      <c r="I105" s="90"/>
      <c r="J105" s="152"/>
      <c r="K105" s="90"/>
      <c r="L105" s="171"/>
      <c r="M105" s="159"/>
      <c r="N105" s="121"/>
      <c r="O105" s="121"/>
      <c r="P105" s="121"/>
      <c r="Q105" s="129"/>
      <c r="R105" s="114"/>
      <c r="S105" s="117"/>
      <c r="T105" s="110"/>
      <c r="U105" s="110"/>
    </row>
    <row r="106" spans="1:21" x14ac:dyDescent="0.15">
      <c r="N106" s="121"/>
      <c r="O106" s="121"/>
      <c r="P106" s="121"/>
      <c r="Q106" s="129"/>
      <c r="R106" s="114"/>
      <c r="S106" s="117"/>
      <c r="T106" s="110"/>
      <c r="U106" s="110"/>
    </row>
    <row r="107" spans="1:21" x14ac:dyDescent="0.15">
      <c r="N107" s="121" t="s">
        <v>108</v>
      </c>
      <c r="O107" s="121"/>
      <c r="P107" s="121"/>
      <c r="Q107" s="128"/>
      <c r="R107" s="114" t="s">
        <v>46</v>
      </c>
      <c r="S107" s="117" t="s">
        <v>46</v>
      </c>
      <c r="T107" s="110"/>
      <c r="U107" s="110"/>
    </row>
    <row r="108" spans="1:21" x14ac:dyDescent="0.15">
      <c r="N108" s="121"/>
      <c r="O108" s="121"/>
      <c r="P108" s="121"/>
      <c r="Q108" s="129"/>
      <c r="R108" s="114"/>
      <c r="S108" s="117"/>
      <c r="T108" s="110"/>
      <c r="U108" s="110"/>
    </row>
    <row r="109" spans="1:21" x14ac:dyDescent="0.15">
      <c r="N109" s="121"/>
      <c r="O109" s="121"/>
      <c r="P109" s="121"/>
      <c r="Q109" s="129"/>
      <c r="R109" s="114"/>
      <c r="S109" s="117"/>
      <c r="T109" s="110"/>
      <c r="U109" s="110"/>
    </row>
    <row r="110" spans="1:21" x14ac:dyDescent="0.15">
      <c r="N110" s="121" t="s">
        <v>104</v>
      </c>
      <c r="O110" s="121"/>
      <c r="P110" s="121"/>
      <c r="Q110" s="128"/>
      <c r="R110" s="114" t="s">
        <v>46</v>
      </c>
      <c r="S110" s="117" t="s">
        <v>46</v>
      </c>
      <c r="T110" s="110"/>
      <c r="U110" s="110"/>
    </row>
    <row r="111" spans="1:21" x14ac:dyDescent="0.15">
      <c r="N111" s="121"/>
      <c r="O111" s="121"/>
      <c r="P111" s="121"/>
      <c r="Q111" s="129"/>
      <c r="R111" s="114"/>
      <c r="S111" s="117"/>
      <c r="T111" s="110"/>
      <c r="U111" s="110"/>
    </row>
    <row r="112" spans="1:21" x14ac:dyDescent="0.15">
      <c r="N112" s="124"/>
      <c r="O112" s="124"/>
      <c r="P112" s="124"/>
      <c r="Q112" s="129"/>
      <c r="R112" s="116"/>
      <c r="S112" s="119"/>
      <c r="T112" s="110"/>
      <c r="U112" s="110"/>
    </row>
    <row r="123" spans="1:15" x14ac:dyDescent="0.15">
      <c r="A123" s="58">
        <v>0</v>
      </c>
      <c r="B123"/>
      <c r="C123"/>
      <c r="D123" s="58">
        <v>1</v>
      </c>
      <c r="E123"/>
      <c r="F123"/>
      <c r="G123" s="58">
        <v>-1</v>
      </c>
      <c r="H123"/>
      <c r="I123"/>
      <c r="J123" s="58">
        <v>2</v>
      </c>
      <c r="K123"/>
      <c r="L123"/>
      <c r="M123" t="s">
        <v>125</v>
      </c>
      <c r="N123"/>
      <c r="O123"/>
    </row>
    <row r="124" spans="1:15" x14ac:dyDescent="0.15">
      <c r="A124" s="59"/>
      <c r="B124" s="59"/>
      <c r="C124" s="60"/>
      <c r="D124" s="61"/>
      <c r="E124" s="59"/>
      <c r="F124" s="60"/>
      <c r="G124" s="61"/>
      <c r="H124" s="59"/>
      <c r="I124" s="60"/>
      <c r="J124"/>
      <c r="K124"/>
      <c r="L124"/>
      <c r="M124"/>
      <c r="N124"/>
      <c r="O124"/>
    </row>
    <row r="125" spans="1:15" x14ac:dyDescent="0.15">
      <c r="A125" s="59"/>
      <c r="B125" s="59">
        <v>0</v>
      </c>
      <c r="C125" s="60"/>
      <c r="D125" s="61"/>
      <c r="E125" s="59">
        <v>1</v>
      </c>
      <c r="F125" s="60"/>
      <c r="G125" s="61"/>
      <c r="H125" s="59">
        <v>-1</v>
      </c>
      <c r="I125" s="60"/>
      <c r="J125"/>
      <c r="K125">
        <v>2</v>
      </c>
      <c r="L125"/>
      <c r="M125"/>
      <c r="N125"/>
      <c r="O125"/>
    </row>
    <row r="126" spans="1:15" x14ac:dyDescent="0.15">
      <c r="A126" s="59"/>
      <c r="B126" s="59"/>
      <c r="C126" s="60"/>
      <c r="D126" s="61"/>
      <c r="E126" s="59"/>
      <c r="F126" s="60"/>
      <c r="G126" s="61"/>
      <c r="H126" s="59"/>
      <c r="I126" s="60"/>
      <c r="J126"/>
      <c r="K126"/>
      <c r="L126"/>
      <c r="M126"/>
      <c r="N126" s="58">
        <v>-2</v>
      </c>
      <c r="O126"/>
    </row>
    <row r="127" spans="1:15" x14ac:dyDescent="0.15">
      <c r="A127" s="59" t="s">
        <v>134</v>
      </c>
      <c r="B127" s="59"/>
      <c r="C127" s="60"/>
      <c r="D127" s="61" t="s">
        <v>134</v>
      </c>
      <c r="E127" s="59"/>
      <c r="F127" s="60"/>
      <c r="G127" s="61" t="s">
        <v>134</v>
      </c>
      <c r="H127" s="59"/>
      <c r="I127" s="60"/>
      <c r="J127" s="61" t="s">
        <v>126</v>
      </c>
      <c r="K127" s="59"/>
      <c r="L127" s="62"/>
      <c r="M127" s="61" t="s">
        <v>126</v>
      </c>
      <c r="N127" s="59"/>
      <c r="O127" s="60"/>
    </row>
    <row r="128" spans="1:15" x14ac:dyDescent="0.15">
      <c r="A128" s="59"/>
      <c r="B128" s="59"/>
      <c r="C128" s="60"/>
      <c r="D128" s="61"/>
      <c r="E128" s="59"/>
      <c r="F128" s="60"/>
      <c r="G128" s="61"/>
      <c r="H128" s="59"/>
      <c r="I128" s="60"/>
      <c r="J128" s="61"/>
      <c r="K128" s="59"/>
      <c r="L128" s="60"/>
      <c r="M128" s="61"/>
      <c r="N128" s="59"/>
      <c r="O128" s="60"/>
    </row>
    <row r="129" spans="1:15" x14ac:dyDescent="0.15">
      <c r="A129" s="59"/>
      <c r="B129" s="59"/>
      <c r="C129" s="60"/>
      <c r="D129" s="61"/>
      <c r="E129" s="59"/>
      <c r="F129" s="60"/>
      <c r="G129" s="61"/>
      <c r="H129" s="59"/>
      <c r="I129" s="60"/>
      <c r="J129" s="61"/>
      <c r="K129" s="59"/>
      <c r="L129" s="60"/>
      <c r="M129" s="61"/>
      <c r="N129" s="59"/>
      <c r="O129" s="60"/>
    </row>
    <row r="130" spans="1:15" x14ac:dyDescent="0.15">
      <c r="A130" s="59" t="s">
        <v>129</v>
      </c>
      <c r="B130" s="59" t="s">
        <v>3</v>
      </c>
      <c r="C130" s="60" t="s">
        <v>4</v>
      </c>
      <c r="D130" s="61" t="s">
        <v>129</v>
      </c>
      <c r="E130" s="59" t="s">
        <v>3</v>
      </c>
      <c r="F130" s="60" t="s">
        <v>4</v>
      </c>
      <c r="G130" s="61" t="s">
        <v>129</v>
      </c>
      <c r="H130" s="59" t="s">
        <v>3</v>
      </c>
      <c r="I130" s="60" t="s">
        <v>4</v>
      </c>
      <c r="J130" s="61" t="s">
        <v>129</v>
      </c>
      <c r="K130" s="59" t="s">
        <v>3</v>
      </c>
      <c r="L130" s="60" t="s">
        <v>4</v>
      </c>
      <c r="M130" s="61" t="s">
        <v>2</v>
      </c>
      <c r="N130" s="59" t="s">
        <v>3</v>
      </c>
      <c r="O130" s="60" t="s">
        <v>4</v>
      </c>
    </row>
    <row r="131" spans="1:15" x14ac:dyDescent="0.15">
      <c r="A131" s="59">
        <v>-9.5804887499999977E-2</v>
      </c>
      <c r="B131" s="59">
        <v>-193638.79063727582</v>
      </c>
      <c r="C131" s="60">
        <v>-0.14826496087499999</v>
      </c>
      <c r="D131" s="61">
        <v>-9.5804887499999977E-2</v>
      </c>
      <c r="E131" s="59">
        <v>-193638.79063727582</v>
      </c>
      <c r="F131" s="60">
        <v>-0.14826496087499999</v>
      </c>
      <c r="G131" s="61">
        <v>-9.5804887499999977E-2</v>
      </c>
      <c r="H131" s="59">
        <v>-193638.79063727582</v>
      </c>
      <c r="I131" s="60">
        <v>-0.14826496087499999</v>
      </c>
      <c r="J131" s="61">
        <v>-0.23084000499999993</v>
      </c>
      <c r="K131" s="59">
        <v>-568161.34678290912</v>
      </c>
      <c r="L131" s="60">
        <v>-0.16990864924999999</v>
      </c>
      <c r="M131" s="61">
        <v>-0.22346361937500006</v>
      </c>
      <c r="N131" s="59">
        <v>-568161.34678290912</v>
      </c>
      <c r="O131" s="60">
        <v>-0.21501656437499989</v>
      </c>
    </row>
    <row r="132" spans="1:15" x14ac:dyDescent="0.15">
      <c r="A132" s="59"/>
      <c r="B132" s="59"/>
      <c r="C132" s="60"/>
      <c r="D132" s="61"/>
      <c r="E132" s="59"/>
      <c r="F132" s="60"/>
      <c r="G132" s="61"/>
      <c r="H132" s="59"/>
      <c r="I132" s="60"/>
      <c r="J132" s="61"/>
      <c r="K132" s="59"/>
      <c r="L132" s="60"/>
      <c r="M132" s="61"/>
      <c r="N132" s="59"/>
      <c r="O132" s="60"/>
    </row>
    <row r="133" spans="1:15" x14ac:dyDescent="0.15">
      <c r="A133" s="59" t="s">
        <v>129</v>
      </c>
      <c r="B133" s="59" t="s">
        <v>3</v>
      </c>
      <c r="C133" s="60" t="s">
        <v>4</v>
      </c>
      <c r="D133" s="61" t="s">
        <v>129</v>
      </c>
      <c r="E133" s="59" t="s">
        <v>3</v>
      </c>
      <c r="F133" s="60" t="s">
        <v>4</v>
      </c>
      <c r="G133" s="61" t="s">
        <v>129</v>
      </c>
      <c r="H133" s="59" t="s">
        <v>3</v>
      </c>
      <c r="I133" s="60" t="s">
        <v>4</v>
      </c>
      <c r="J133" s="61" t="s">
        <v>129</v>
      </c>
      <c r="K133" s="59" t="s">
        <v>3</v>
      </c>
      <c r="L133" s="60" t="s">
        <v>4</v>
      </c>
      <c r="M133" s="61" t="s">
        <v>2</v>
      </c>
      <c r="N133" s="59" t="s">
        <v>3</v>
      </c>
      <c r="O133" s="60" t="s">
        <v>4</v>
      </c>
    </row>
    <row r="134" spans="1:15" x14ac:dyDescent="0.15">
      <c r="A134" s="59">
        <v>-0.19517892125</v>
      </c>
      <c r="B134" s="59">
        <v>-193637.75364357376</v>
      </c>
      <c r="C134" s="60">
        <v>-0.21103936000000001</v>
      </c>
      <c r="D134" s="61">
        <v>-0.19517892125</v>
      </c>
      <c r="E134" s="59">
        <v>-193637.75364357376</v>
      </c>
      <c r="F134" s="60">
        <v>-0.21103936000000001</v>
      </c>
      <c r="G134" s="61">
        <v>-0.19517892125</v>
      </c>
      <c r="H134" s="59">
        <v>-193637.75364357376</v>
      </c>
      <c r="I134" s="60">
        <v>-0.21103936000000001</v>
      </c>
      <c r="J134" s="61">
        <v>-0.42958807249999997</v>
      </c>
      <c r="K134" s="59">
        <v>-568159.27279550501</v>
      </c>
      <c r="L134" s="60">
        <v>-0.29545744750000003</v>
      </c>
      <c r="M134" s="61">
        <v>-0.33093368649999999</v>
      </c>
      <c r="N134" s="59">
        <v>-568159.27279550501</v>
      </c>
      <c r="O134" s="60">
        <v>-0.29545744750000003</v>
      </c>
    </row>
    <row r="135" spans="1:15" x14ac:dyDescent="0.15">
      <c r="A135" s="59"/>
      <c r="B135" s="59"/>
      <c r="C135" s="60"/>
      <c r="D135" s="61"/>
      <c r="E135" s="59"/>
      <c r="F135" s="60"/>
      <c r="G135" s="61"/>
      <c r="H135" s="59"/>
      <c r="I135" s="60"/>
      <c r="J135" s="61"/>
      <c r="K135" s="59"/>
      <c r="L135" s="60"/>
      <c r="M135" s="61"/>
      <c r="N135" s="59"/>
      <c r="O135" s="60"/>
    </row>
    <row r="136" spans="1:15" x14ac:dyDescent="0.15">
      <c r="A136" s="59" t="s">
        <v>130</v>
      </c>
      <c r="B136" s="59">
        <v>1.9917701141483857</v>
      </c>
      <c r="C136" s="60"/>
      <c r="D136" s="61" t="s">
        <v>132</v>
      </c>
      <c r="E136" s="59">
        <v>1.458532464261749</v>
      </c>
      <c r="F136" s="60"/>
      <c r="G136" s="61" t="s">
        <v>132</v>
      </c>
      <c r="H136" s="59">
        <v>2.3402008841864914</v>
      </c>
      <c r="I136" s="60"/>
      <c r="J136" s="61" t="s">
        <v>131</v>
      </c>
      <c r="K136" s="59">
        <v>0.78456124454619203</v>
      </c>
      <c r="L136" s="60"/>
      <c r="M136" s="61" t="s">
        <v>127</v>
      </c>
      <c r="N136" s="59">
        <v>0.53091747125965216</v>
      </c>
      <c r="O136" s="60"/>
    </row>
    <row r="137" spans="1:15" x14ac:dyDescent="0.15">
      <c r="A137" s="59"/>
      <c r="B137" s="59"/>
      <c r="C137" s="60"/>
      <c r="D137" s="61"/>
      <c r="E137" s="59"/>
      <c r="F137" s="60"/>
      <c r="G137" s="61"/>
      <c r="H137" s="59"/>
      <c r="I137" s="60"/>
      <c r="J137" s="61"/>
      <c r="K137" s="59"/>
      <c r="L137" s="60"/>
      <c r="M137" s="61"/>
      <c r="N137" s="59"/>
      <c r="O137" s="60"/>
    </row>
    <row r="138" spans="1:15" x14ac:dyDescent="0.15">
      <c r="A138" s="59"/>
      <c r="B138" s="59"/>
      <c r="C138" s="60"/>
      <c r="D138" s="61"/>
      <c r="E138" s="59"/>
      <c r="F138" s="60"/>
      <c r="G138" s="61"/>
      <c r="H138" s="59"/>
      <c r="I138" s="60"/>
      <c r="J138" s="61"/>
      <c r="K138" s="59"/>
      <c r="L138" s="60"/>
      <c r="M138" s="61"/>
      <c r="N138" s="59"/>
      <c r="O138" s="60"/>
    </row>
    <row r="139" spans="1:15" x14ac:dyDescent="0.15">
      <c r="A139" s="59" t="s">
        <v>135</v>
      </c>
      <c r="B139" s="59">
        <v>1.0541504458397053</v>
      </c>
      <c r="C139" s="60"/>
      <c r="D139" s="61" t="s">
        <v>136</v>
      </c>
      <c r="E139" s="59">
        <v>0.52091279595306872</v>
      </c>
      <c r="F139" s="60"/>
      <c r="G139" s="61" t="s">
        <v>136</v>
      </c>
      <c r="H139" s="59">
        <v>1.4025812158778113</v>
      </c>
      <c r="I139" s="60"/>
      <c r="J139" s="61" t="s">
        <v>133</v>
      </c>
      <c r="K139" s="59">
        <v>-1.0906780920711685</v>
      </c>
      <c r="L139" s="60"/>
      <c r="M139" s="61" t="s">
        <v>128</v>
      </c>
      <c r="N139" s="59">
        <v>2.497434808252013</v>
      </c>
      <c r="O139" s="60"/>
    </row>
    <row r="140" spans="1:15" x14ac:dyDescent="0.15">
      <c r="A140" s="59"/>
      <c r="B140" s="59"/>
      <c r="C140" s="60"/>
      <c r="D140" s="61"/>
      <c r="E140" s="59"/>
      <c r="F140" s="60"/>
      <c r="G140" s="61"/>
      <c r="H140" s="59"/>
      <c r="I140" s="60"/>
      <c r="J140" s="61"/>
      <c r="K140" s="59"/>
      <c r="L140" s="60"/>
      <c r="M140" s="61"/>
      <c r="N140" s="59"/>
      <c r="O140" s="60"/>
    </row>
    <row r="141" spans="1:15" x14ac:dyDescent="0.15">
      <c r="A141"/>
      <c r="B141"/>
      <c r="C141"/>
      <c r="D141" s="61"/>
      <c r="E141" s="59"/>
      <c r="F141" s="60"/>
      <c r="G141" s="61"/>
      <c r="H141" s="59"/>
      <c r="I141" s="60"/>
      <c r="J141" s="61"/>
      <c r="K141" s="59"/>
      <c r="L141" s="60"/>
      <c r="M141" s="61"/>
      <c r="N141" s="59"/>
      <c r="O141" s="60"/>
    </row>
    <row r="142" spans="1:1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15">
      <c r="A144" s="58">
        <v>1</v>
      </c>
      <c r="B144">
        <f>B136-E136</f>
        <v>0.53323764988663669</v>
      </c>
      <c r="C144"/>
      <c r="D144" s="58">
        <v>-1</v>
      </c>
      <c r="E144">
        <f>(H136-E136)/2</f>
        <v>0.44083420996237122</v>
      </c>
      <c r="F144"/>
      <c r="G144" s="58">
        <v>2</v>
      </c>
      <c r="H144"/>
      <c r="I144">
        <f>(H136-K136)/3</f>
        <v>0.51854654654676646</v>
      </c>
      <c r="J144" s="58">
        <v>-2</v>
      </c>
      <c r="K144"/>
      <c r="L144">
        <f>(N136-K136)/4</f>
        <v>-6.3410943321634966E-2</v>
      </c>
      <c r="M144"/>
      <c r="N144"/>
      <c r="O144"/>
    </row>
    <row r="145" spans="1:15" x14ac:dyDescent="0.15">
      <c r="A145"/>
      <c r="B145">
        <f>B139-E139</f>
        <v>0.53323764988663658</v>
      </c>
      <c r="C145"/>
      <c r="D145"/>
      <c r="E145">
        <f>(H139-E139)/2</f>
        <v>0.44083420996237127</v>
      </c>
      <c r="F145"/>
      <c r="G145"/>
      <c r="H145"/>
      <c r="I145">
        <f>(H139-K139)/3</f>
        <v>0.83108643598299325</v>
      </c>
      <c r="J145"/>
      <c r="K145"/>
      <c r="L145">
        <f>(N139-K139)/4</f>
        <v>0.89702822508079538</v>
      </c>
      <c r="M145"/>
      <c r="N145"/>
      <c r="O145"/>
    </row>
    <row r="146" spans="1:1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15">
      <c r="A149" s="58">
        <v>-1</v>
      </c>
      <c r="B149">
        <f>H136-B136</f>
        <v>0.34843077003810574</v>
      </c>
      <c r="C149"/>
      <c r="D149" s="58">
        <v>2</v>
      </c>
      <c r="E149">
        <f>E139-K139</f>
        <v>1.6115908880242373</v>
      </c>
      <c r="F149"/>
      <c r="G149" s="58">
        <v>-2</v>
      </c>
      <c r="H149"/>
      <c r="I149">
        <f>N139-H139</f>
        <v>1.0948535923742018</v>
      </c>
      <c r="J149"/>
      <c r="K149"/>
      <c r="L149"/>
      <c r="M149"/>
      <c r="N149"/>
      <c r="O149"/>
    </row>
    <row r="150" spans="1:1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15">
      <c r="A153" s="58">
        <v>2</v>
      </c>
      <c r="B153">
        <f>(B136-K136)/2</f>
        <v>0.60360443480109682</v>
      </c>
      <c r="C153"/>
      <c r="D153" s="58">
        <v>-2</v>
      </c>
      <c r="E153">
        <f>(N136-E136)/3</f>
        <v>-0.30920499766736559</v>
      </c>
      <c r="F153"/>
      <c r="G153"/>
      <c r="H153"/>
      <c r="I153"/>
      <c r="J153"/>
      <c r="K153"/>
      <c r="L153"/>
      <c r="M153"/>
      <c r="N153"/>
      <c r="O153"/>
    </row>
    <row r="154" spans="1:1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15">
      <c r="A157" s="58">
        <v>-2</v>
      </c>
      <c r="B157">
        <f>(N136-B136)/2</f>
        <v>-0.7304263214443667</v>
      </c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455">
    <mergeCell ref="A103:A105"/>
    <mergeCell ref="B103:C105"/>
    <mergeCell ref="D103:D105"/>
    <mergeCell ref="E103:F105"/>
    <mergeCell ref="G103:G105"/>
    <mergeCell ref="H103:I105"/>
    <mergeCell ref="J103:J105"/>
    <mergeCell ref="K103:L105"/>
    <mergeCell ref="M103:M105"/>
    <mergeCell ref="M97:M99"/>
    <mergeCell ref="A98:A99"/>
    <mergeCell ref="B98:B99"/>
    <mergeCell ref="C98:C99"/>
    <mergeCell ref="A100:A102"/>
    <mergeCell ref="B100:C102"/>
    <mergeCell ref="D100:D102"/>
    <mergeCell ref="E100:F102"/>
    <mergeCell ref="G100:G102"/>
    <mergeCell ref="H100:I102"/>
    <mergeCell ref="J100:J102"/>
    <mergeCell ref="K100:L102"/>
    <mergeCell ref="M100:M102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A91:C93"/>
    <mergeCell ref="D91:F93"/>
    <mergeCell ref="G91:I93"/>
    <mergeCell ref="J91:L93"/>
    <mergeCell ref="M91:M93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M94:M96"/>
    <mergeCell ref="A95:A96"/>
    <mergeCell ref="B95:B96"/>
    <mergeCell ref="C95:C96"/>
    <mergeCell ref="M55:M57"/>
    <mergeCell ref="M58:M60"/>
    <mergeCell ref="M61:M63"/>
    <mergeCell ref="M64:M66"/>
    <mergeCell ref="M67:M69"/>
    <mergeCell ref="M70:M72"/>
    <mergeCell ref="M73:M75"/>
    <mergeCell ref="M76:M78"/>
    <mergeCell ref="M79:M81"/>
    <mergeCell ref="M28:M30"/>
    <mergeCell ref="M31:M33"/>
    <mergeCell ref="M34:M36"/>
    <mergeCell ref="M37:M39"/>
    <mergeCell ref="M40:M42"/>
    <mergeCell ref="M43:M45"/>
    <mergeCell ref="M46:M48"/>
    <mergeCell ref="M49:M51"/>
    <mergeCell ref="M52:M54"/>
    <mergeCell ref="M1:M3"/>
    <mergeCell ref="M4:M6"/>
    <mergeCell ref="M7:M9"/>
    <mergeCell ref="M10:M12"/>
    <mergeCell ref="M13:M15"/>
    <mergeCell ref="M16:M18"/>
    <mergeCell ref="M19:M21"/>
    <mergeCell ref="M22:M24"/>
    <mergeCell ref="M25:M27"/>
    <mergeCell ref="A65:A66"/>
    <mergeCell ref="A68:A69"/>
    <mergeCell ref="A5:A6"/>
    <mergeCell ref="A8:A9"/>
    <mergeCell ref="A10:A12"/>
    <mergeCell ref="A13:A15"/>
    <mergeCell ref="A20:A21"/>
    <mergeCell ref="A23:A24"/>
    <mergeCell ref="A25:A27"/>
    <mergeCell ref="A28:A30"/>
    <mergeCell ref="A35:A36"/>
    <mergeCell ref="A70:A72"/>
    <mergeCell ref="A73:A75"/>
    <mergeCell ref="A80:A81"/>
    <mergeCell ref="A83:A84"/>
    <mergeCell ref="A85:A87"/>
    <mergeCell ref="A88:A90"/>
    <mergeCell ref="B5:B6"/>
    <mergeCell ref="B8:B9"/>
    <mergeCell ref="B20:B21"/>
    <mergeCell ref="B23:B24"/>
    <mergeCell ref="B35:B36"/>
    <mergeCell ref="B38:B39"/>
    <mergeCell ref="B50:B51"/>
    <mergeCell ref="B53:B54"/>
    <mergeCell ref="B65:B66"/>
    <mergeCell ref="B68:B69"/>
    <mergeCell ref="B80:B81"/>
    <mergeCell ref="B83:B84"/>
    <mergeCell ref="B70:C72"/>
    <mergeCell ref="B73:C75"/>
    <mergeCell ref="A76:C78"/>
    <mergeCell ref="B85:C87"/>
    <mergeCell ref="B88:C90"/>
    <mergeCell ref="A38:A39"/>
    <mergeCell ref="C5:C6"/>
    <mergeCell ref="C8:C9"/>
    <mergeCell ref="C20:C21"/>
    <mergeCell ref="C23:C24"/>
    <mergeCell ref="C35:C36"/>
    <mergeCell ref="C38:C39"/>
    <mergeCell ref="C50:C51"/>
    <mergeCell ref="C53:C54"/>
    <mergeCell ref="C65:C66"/>
    <mergeCell ref="A31:C33"/>
    <mergeCell ref="A46:C48"/>
    <mergeCell ref="B25:C27"/>
    <mergeCell ref="B28:C30"/>
    <mergeCell ref="B40:C42"/>
    <mergeCell ref="B43:C45"/>
    <mergeCell ref="B55:C57"/>
    <mergeCell ref="B58:C60"/>
    <mergeCell ref="A61:C63"/>
    <mergeCell ref="A40:A42"/>
    <mergeCell ref="A43:A45"/>
    <mergeCell ref="A50:A51"/>
    <mergeCell ref="A53:A54"/>
    <mergeCell ref="A55:A57"/>
    <mergeCell ref="A58:A60"/>
    <mergeCell ref="C68:C69"/>
    <mergeCell ref="C80:C81"/>
    <mergeCell ref="C83:C84"/>
    <mergeCell ref="D4:D6"/>
    <mergeCell ref="D7:D9"/>
    <mergeCell ref="D10:D12"/>
    <mergeCell ref="D13:D15"/>
    <mergeCell ref="D19:D21"/>
    <mergeCell ref="D22:D24"/>
    <mergeCell ref="D25:D27"/>
    <mergeCell ref="D28:D30"/>
    <mergeCell ref="D34:D36"/>
    <mergeCell ref="D37:D39"/>
    <mergeCell ref="D40:D42"/>
    <mergeCell ref="D43:D45"/>
    <mergeCell ref="D49:D51"/>
    <mergeCell ref="D52:D54"/>
    <mergeCell ref="D55:D57"/>
    <mergeCell ref="D58:D60"/>
    <mergeCell ref="D64:D66"/>
    <mergeCell ref="D67:D69"/>
    <mergeCell ref="D70:D72"/>
    <mergeCell ref="D73:D75"/>
    <mergeCell ref="D79:D81"/>
    <mergeCell ref="D82:D84"/>
    <mergeCell ref="D85:D87"/>
    <mergeCell ref="D88:D90"/>
    <mergeCell ref="E4:E6"/>
    <mergeCell ref="E7:E9"/>
    <mergeCell ref="E19:E21"/>
    <mergeCell ref="E22:E24"/>
    <mergeCell ref="E34:E36"/>
    <mergeCell ref="E37:E39"/>
    <mergeCell ref="E49:E51"/>
    <mergeCell ref="E52:E54"/>
    <mergeCell ref="E64:E66"/>
    <mergeCell ref="E67:E69"/>
    <mergeCell ref="E79:E81"/>
    <mergeCell ref="E82:E84"/>
    <mergeCell ref="E70:F72"/>
    <mergeCell ref="E73:F75"/>
    <mergeCell ref="D76:F78"/>
    <mergeCell ref="E85:F87"/>
    <mergeCell ref="E88:F90"/>
    <mergeCell ref="F19:F21"/>
    <mergeCell ref="F22:F24"/>
    <mergeCell ref="F34:F36"/>
    <mergeCell ref="F37:F39"/>
    <mergeCell ref="F49:F51"/>
    <mergeCell ref="F52:F54"/>
    <mergeCell ref="F64:F66"/>
    <mergeCell ref="D31:F33"/>
    <mergeCell ref="D46:F48"/>
    <mergeCell ref="E25:F27"/>
    <mergeCell ref="E28:F30"/>
    <mergeCell ref="E40:F42"/>
    <mergeCell ref="E43:F45"/>
    <mergeCell ref="E55:F57"/>
    <mergeCell ref="E58:F60"/>
    <mergeCell ref="D61:F63"/>
    <mergeCell ref="F67:F69"/>
    <mergeCell ref="F79:F81"/>
    <mergeCell ref="F82:F84"/>
    <mergeCell ref="G4:G6"/>
    <mergeCell ref="G7:G9"/>
    <mergeCell ref="G10:G12"/>
    <mergeCell ref="G13:G15"/>
    <mergeCell ref="G19:G21"/>
    <mergeCell ref="G22:G24"/>
    <mergeCell ref="G25:G27"/>
    <mergeCell ref="G28:G30"/>
    <mergeCell ref="G34:G36"/>
    <mergeCell ref="G37:G39"/>
    <mergeCell ref="G40:G42"/>
    <mergeCell ref="G43:G45"/>
    <mergeCell ref="G49:G51"/>
    <mergeCell ref="G52:G54"/>
    <mergeCell ref="G55:G57"/>
    <mergeCell ref="G58:G60"/>
    <mergeCell ref="G64:G66"/>
    <mergeCell ref="G67:G69"/>
    <mergeCell ref="G70:G72"/>
    <mergeCell ref="G73:G75"/>
    <mergeCell ref="G79:G81"/>
    <mergeCell ref="G82:G84"/>
    <mergeCell ref="G85:G87"/>
    <mergeCell ref="G88:G90"/>
    <mergeCell ref="H4:H6"/>
    <mergeCell ref="H7:H9"/>
    <mergeCell ref="H19:H21"/>
    <mergeCell ref="H22:H24"/>
    <mergeCell ref="H34:H36"/>
    <mergeCell ref="H37:H39"/>
    <mergeCell ref="H49:H51"/>
    <mergeCell ref="H52:H54"/>
    <mergeCell ref="H64:H66"/>
    <mergeCell ref="H67:H69"/>
    <mergeCell ref="H79:H81"/>
    <mergeCell ref="H82:H84"/>
    <mergeCell ref="H70:I72"/>
    <mergeCell ref="H73:I75"/>
    <mergeCell ref="G76:I78"/>
    <mergeCell ref="H85:I87"/>
    <mergeCell ref="H88:I90"/>
    <mergeCell ref="I19:I21"/>
    <mergeCell ref="I22:I24"/>
    <mergeCell ref="I34:I36"/>
    <mergeCell ref="I37:I39"/>
    <mergeCell ref="I49:I51"/>
    <mergeCell ref="I52:I54"/>
    <mergeCell ref="I64:I66"/>
    <mergeCell ref="G31:I33"/>
    <mergeCell ref="G46:I48"/>
    <mergeCell ref="H25:I27"/>
    <mergeCell ref="H28:I30"/>
    <mergeCell ref="H40:I42"/>
    <mergeCell ref="H43:I45"/>
    <mergeCell ref="H55:I57"/>
    <mergeCell ref="H58:I60"/>
    <mergeCell ref="G61:I63"/>
    <mergeCell ref="I67:I69"/>
    <mergeCell ref="I79:I81"/>
    <mergeCell ref="I82:I84"/>
    <mergeCell ref="J4:J6"/>
    <mergeCell ref="J7:J9"/>
    <mergeCell ref="J10:J12"/>
    <mergeCell ref="J13:J15"/>
    <mergeCell ref="J19:J21"/>
    <mergeCell ref="J22:J24"/>
    <mergeCell ref="J25:J27"/>
    <mergeCell ref="J28:J30"/>
    <mergeCell ref="J34:J36"/>
    <mergeCell ref="J37:J39"/>
    <mergeCell ref="J40:J42"/>
    <mergeCell ref="J43:J45"/>
    <mergeCell ref="J49:J51"/>
    <mergeCell ref="J52:J54"/>
    <mergeCell ref="J55:J57"/>
    <mergeCell ref="J58:J60"/>
    <mergeCell ref="J64:J66"/>
    <mergeCell ref="J67:J69"/>
    <mergeCell ref="J70:J72"/>
    <mergeCell ref="J73:J75"/>
    <mergeCell ref="J79:J81"/>
    <mergeCell ref="L19:L21"/>
    <mergeCell ref="L22:L24"/>
    <mergeCell ref="L34:L36"/>
    <mergeCell ref="L37:L39"/>
    <mergeCell ref="L49:L51"/>
    <mergeCell ref="L52:L54"/>
    <mergeCell ref="L64:L66"/>
    <mergeCell ref="J31:L33"/>
    <mergeCell ref="J46:L48"/>
    <mergeCell ref="K25:L27"/>
    <mergeCell ref="K28:L30"/>
    <mergeCell ref="K40:L42"/>
    <mergeCell ref="K43:L45"/>
    <mergeCell ref="K55:L57"/>
    <mergeCell ref="K58:L60"/>
    <mergeCell ref="J61:L63"/>
    <mergeCell ref="K19:K21"/>
    <mergeCell ref="K22:K24"/>
    <mergeCell ref="K34:K36"/>
    <mergeCell ref="K37:K39"/>
    <mergeCell ref="K49:K51"/>
    <mergeCell ref="K52:K54"/>
    <mergeCell ref="K64:K66"/>
    <mergeCell ref="L67:L69"/>
    <mergeCell ref="L79:L81"/>
    <mergeCell ref="L82:L84"/>
    <mergeCell ref="N71:N73"/>
    <mergeCell ref="N74:N76"/>
    <mergeCell ref="N77:N79"/>
    <mergeCell ref="N80:N82"/>
    <mergeCell ref="N83:N85"/>
    <mergeCell ref="N86:N88"/>
    <mergeCell ref="K70:L72"/>
    <mergeCell ref="K73:L75"/>
    <mergeCell ref="J76:L78"/>
    <mergeCell ref="K85:L87"/>
    <mergeCell ref="K88:L90"/>
    <mergeCell ref="J82:J84"/>
    <mergeCell ref="J85:J87"/>
    <mergeCell ref="J88:J90"/>
    <mergeCell ref="K67:K69"/>
    <mergeCell ref="K79:K81"/>
    <mergeCell ref="K82:K84"/>
    <mergeCell ref="M82:M84"/>
    <mergeCell ref="M85:M87"/>
    <mergeCell ref="M88:M90"/>
    <mergeCell ref="N104:N106"/>
    <mergeCell ref="N107:N109"/>
    <mergeCell ref="N110:N112"/>
    <mergeCell ref="O71:O73"/>
    <mergeCell ref="O74:O76"/>
    <mergeCell ref="O77:O79"/>
    <mergeCell ref="O80:O82"/>
    <mergeCell ref="O83:O85"/>
    <mergeCell ref="O86:O88"/>
    <mergeCell ref="O89:O91"/>
    <mergeCell ref="O92:O94"/>
    <mergeCell ref="O95:O97"/>
    <mergeCell ref="O98:O100"/>
    <mergeCell ref="O101:O103"/>
    <mergeCell ref="O104:O106"/>
    <mergeCell ref="O107:O109"/>
    <mergeCell ref="O110:O112"/>
    <mergeCell ref="P92:P94"/>
    <mergeCell ref="P95:P97"/>
    <mergeCell ref="N89:N91"/>
    <mergeCell ref="N92:N94"/>
    <mergeCell ref="N95:N97"/>
    <mergeCell ref="N98:N100"/>
    <mergeCell ref="N101:N103"/>
    <mergeCell ref="P98:P100"/>
    <mergeCell ref="P101:P103"/>
    <mergeCell ref="P104:P106"/>
    <mergeCell ref="P107:P109"/>
    <mergeCell ref="P110:P112"/>
    <mergeCell ref="Q71:Q73"/>
    <mergeCell ref="Q74:Q76"/>
    <mergeCell ref="Q77:Q79"/>
    <mergeCell ref="Q80:Q82"/>
    <mergeCell ref="Q83:Q85"/>
    <mergeCell ref="Q86:Q88"/>
    <mergeCell ref="Q89:Q91"/>
    <mergeCell ref="Q92:Q94"/>
    <mergeCell ref="Q95:Q97"/>
    <mergeCell ref="Q98:Q100"/>
    <mergeCell ref="Q101:Q103"/>
    <mergeCell ref="Q104:Q106"/>
    <mergeCell ref="Q107:Q109"/>
    <mergeCell ref="Q110:Q112"/>
    <mergeCell ref="P71:P73"/>
    <mergeCell ref="P74:P76"/>
    <mergeCell ref="P77:P79"/>
    <mergeCell ref="P80:P82"/>
    <mergeCell ref="P83:P85"/>
    <mergeCell ref="P86:P88"/>
    <mergeCell ref="P89:P91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T101:T103"/>
    <mergeCell ref="T104:T106"/>
    <mergeCell ref="T107:T109"/>
    <mergeCell ref="T110:T112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R98:R100"/>
    <mergeCell ref="R101:R103"/>
    <mergeCell ref="R104:R106"/>
    <mergeCell ref="R107:R109"/>
    <mergeCell ref="R110:R112"/>
    <mergeCell ref="S98:S100"/>
    <mergeCell ref="S101:S103"/>
    <mergeCell ref="S104:S106"/>
    <mergeCell ref="S107:S109"/>
    <mergeCell ref="S110:S112"/>
    <mergeCell ref="U98:U100"/>
    <mergeCell ref="U101:U103"/>
    <mergeCell ref="U104:U106"/>
    <mergeCell ref="U107:U109"/>
    <mergeCell ref="U110:U112"/>
    <mergeCell ref="T71:T73"/>
    <mergeCell ref="T74:T76"/>
    <mergeCell ref="T77:T79"/>
    <mergeCell ref="T80:T82"/>
    <mergeCell ref="T83:T85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T86:T88"/>
    <mergeCell ref="T89:T91"/>
    <mergeCell ref="T92:T94"/>
    <mergeCell ref="T95:T97"/>
    <mergeCell ref="T98:T100"/>
    <mergeCell ref="A1:C3"/>
    <mergeCell ref="D1:F3"/>
    <mergeCell ref="G1:I3"/>
    <mergeCell ref="J1:L3"/>
    <mergeCell ref="A16:C18"/>
    <mergeCell ref="D16:F18"/>
    <mergeCell ref="G16:I18"/>
    <mergeCell ref="J16:L18"/>
    <mergeCell ref="B10:C12"/>
    <mergeCell ref="H10:I12"/>
    <mergeCell ref="E10:F12"/>
    <mergeCell ref="K10:L12"/>
    <mergeCell ref="B13:C15"/>
    <mergeCell ref="H13:I15"/>
    <mergeCell ref="E13:F15"/>
    <mergeCell ref="K13:L15"/>
    <mergeCell ref="L4:L6"/>
    <mergeCell ref="L7:L9"/>
    <mergeCell ref="K4:K6"/>
    <mergeCell ref="K7:K9"/>
    <mergeCell ref="I4:I6"/>
    <mergeCell ref="I7:I9"/>
    <mergeCell ref="F4:F6"/>
    <mergeCell ref="F7:F9"/>
  </mergeCells>
  <phoneticPr fontId="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D1" workbookViewId="0">
      <selection activeCell="N22" sqref="N22:O23"/>
    </sheetView>
  </sheetViews>
  <sheetFormatPr defaultColWidth="9" defaultRowHeight="13.5" x14ac:dyDescent="0.15"/>
  <cols>
    <col min="1" max="1" width="9" customWidth="1"/>
    <col min="2" max="2" width="19.875" customWidth="1"/>
    <col min="3" max="3" width="18.75" customWidth="1"/>
    <col min="4" max="4" width="17.625" customWidth="1"/>
    <col min="5" max="5" width="16.75" customWidth="1"/>
    <col min="6" max="6" width="18.875" customWidth="1"/>
    <col min="9" max="9" width="13.75"/>
  </cols>
  <sheetData>
    <row r="1" spans="1:21" x14ac:dyDescent="0.15">
      <c r="A1" s="280" t="s">
        <v>47</v>
      </c>
      <c r="B1" s="280"/>
      <c r="C1" s="280" t="s">
        <v>48</v>
      </c>
      <c r="D1" s="280"/>
      <c r="E1" s="280"/>
      <c r="F1" s="280" t="s">
        <v>49</v>
      </c>
      <c r="G1" s="280"/>
      <c r="H1" s="280"/>
      <c r="I1" s="282" t="s">
        <v>50</v>
      </c>
      <c r="J1" s="278" t="s">
        <v>51</v>
      </c>
      <c r="K1" s="273"/>
      <c r="L1" s="278" t="s">
        <v>52</v>
      </c>
      <c r="M1" s="273"/>
      <c r="N1" s="281" t="s">
        <v>53</v>
      </c>
      <c r="O1" s="281"/>
      <c r="R1" s="273"/>
      <c r="S1" s="273"/>
      <c r="T1" s="273"/>
      <c r="U1" s="273"/>
    </row>
    <row r="2" spans="1:21" x14ac:dyDescent="0.15">
      <c r="A2" s="280"/>
      <c r="B2" s="280"/>
      <c r="C2" s="280"/>
      <c r="D2" s="280"/>
      <c r="E2" s="280"/>
      <c r="F2" s="280"/>
      <c r="G2" s="280"/>
      <c r="H2" s="280"/>
      <c r="I2" s="283"/>
      <c r="J2" s="273"/>
      <c r="K2" s="273"/>
      <c r="L2" s="273"/>
      <c r="M2" s="273"/>
      <c r="N2" s="281"/>
      <c r="O2" s="281"/>
      <c r="R2" s="273"/>
      <c r="S2" s="273"/>
      <c r="T2" s="273"/>
      <c r="U2" s="273"/>
    </row>
    <row r="3" spans="1:21" x14ac:dyDescent="0.15">
      <c r="A3" s="280"/>
      <c r="B3" s="280"/>
      <c r="C3" s="280"/>
      <c r="D3" s="280"/>
      <c r="E3" s="280"/>
      <c r="F3" s="280"/>
      <c r="G3" s="280"/>
      <c r="H3" s="280"/>
      <c r="I3" s="283"/>
      <c r="J3" s="273"/>
      <c r="K3" s="273"/>
      <c r="L3" s="273"/>
      <c r="M3" s="273"/>
      <c r="N3" s="281"/>
      <c r="O3" s="281"/>
      <c r="R3" s="273"/>
      <c r="S3" s="273"/>
      <c r="T3" s="273"/>
      <c r="U3" s="273"/>
    </row>
    <row r="4" spans="1:21" x14ac:dyDescent="0.15">
      <c r="A4" s="277" t="s">
        <v>54</v>
      </c>
      <c r="B4" s="277"/>
      <c r="C4" s="277">
        <f>-363.105</f>
        <v>-363.10500000000002</v>
      </c>
      <c r="D4" s="277"/>
      <c r="E4" s="277"/>
      <c r="F4" s="277">
        <f>-363.144</f>
        <v>-363.14400000000001</v>
      </c>
      <c r="G4" s="277"/>
      <c r="H4" s="277"/>
      <c r="I4" s="273">
        <f t="shared" ref="I4:I8" si="0">C4*13.6056923</f>
        <v>-4940.2949025915004</v>
      </c>
      <c r="J4" s="273">
        <f t="shared" ref="J4:J8" si="1">F4*13.6056923</f>
        <v>-4940.8255245911996</v>
      </c>
      <c r="K4" s="273"/>
      <c r="L4" s="273">
        <f t="shared" ref="L4:L8" si="2">J4-I4</f>
        <v>-0.53062199969917856</v>
      </c>
      <c r="M4" s="273"/>
      <c r="N4" s="273"/>
      <c r="O4" s="273"/>
      <c r="R4" s="273"/>
      <c r="S4" s="273"/>
      <c r="T4" s="273"/>
      <c r="U4" s="1"/>
    </row>
    <row r="5" spans="1:21" x14ac:dyDescent="0.15">
      <c r="A5" s="277"/>
      <c r="B5" s="277"/>
      <c r="C5" s="277"/>
      <c r="D5" s="277"/>
      <c r="E5" s="277"/>
      <c r="F5" s="277"/>
      <c r="G5" s="277"/>
      <c r="H5" s="277"/>
      <c r="I5" s="273"/>
      <c r="J5" s="273"/>
      <c r="K5" s="273"/>
      <c r="L5" s="273"/>
      <c r="M5" s="273"/>
      <c r="N5" s="273"/>
      <c r="O5" s="273"/>
    </row>
    <row r="6" spans="1:21" x14ac:dyDescent="0.15">
      <c r="A6" s="277" t="s">
        <v>55</v>
      </c>
      <c r="B6" s="277"/>
      <c r="C6" s="277">
        <f>-264.832</f>
        <v>-264.83199999999999</v>
      </c>
      <c r="D6" s="277"/>
      <c r="E6" s="277"/>
      <c r="F6" s="277">
        <f>-264.825</f>
        <v>-264.82499999999999</v>
      </c>
      <c r="G6" s="277"/>
      <c r="H6" s="277"/>
      <c r="I6" s="273">
        <f t="shared" si="0"/>
        <v>-3603.2227031936</v>
      </c>
      <c r="J6" s="273">
        <f t="shared" si="1"/>
        <v>-3603.1274633474995</v>
      </c>
      <c r="K6" s="273"/>
      <c r="L6" s="273">
        <f t="shared" si="2"/>
        <v>9.5239846100412251E-2</v>
      </c>
      <c r="M6" s="273"/>
      <c r="N6" s="273"/>
      <c r="O6" s="273"/>
    </row>
    <row r="7" spans="1:21" x14ac:dyDescent="0.15">
      <c r="A7" s="277"/>
      <c r="B7" s="277"/>
      <c r="C7" s="277"/>
      <c r="D7" s="277"/>
      <c r="E7" s="277"/>
      <c r="F7" s="277"/>
      <c r="G7" s="277"/>
      <c r="H7" s="277"/>
      <c r="I7" s="273"/>
      <c r="J7" s="273"/>
      <c r="K7" s="273"/>
      <c r="L7" s="273"/>
      <c r="M7" s="273"/>
      <c r="N7" s="273"/>
      <c r="O7" s="273"/>
    </row>
    <row r="8" spans="1:21" x14ac:dyDescent="0.15">
      <c r="A8" s="277" t="s">
        <v>56</v>
      </c>
      <c r="B8" s="277"/>
      <c r="C8" s="277">
        <f>-98.266</f>
        <v>-98.266000000000005</v>
      </c>
      <c r="D8" s="277"/>
      <c r="E8" s="277"/>
      <c r="F8" s="277">
        <f>-98.315</f>
        <v>-98.314999999999998</v>
      </c>
      <c r="G8" s="277"/>
      <c r="H8" s="277"/>
      <c r="I8" s="273">
        <f t="shared" si="0"/>
        <v>-1336.9769595518001</v>
      </c>
      <c r="J8" s="273">
        <f t="shared" si="1"/>
        <v>-1337.6436384745</v>
      </c>
      <c r="K8" s="273"/>
      <c r="L8" s="273">
        <f t="shared" si="2"/>
        <v>-0.6666789226999299</v>
      </c>
      <c r="M8" s="273"/>
      <c r="N8" s="273"/>
      <c r="O8" s="273"/>
    </row>
    <row r="9" spans="1:21" x14ac:dyDescent="0.15">
      <c r="A9" s="277"/>
      <c r="B9" s="277"/>
      <c r="C9" s="277"/>
      <c r="D9" s="277"/>
      <c r="E9" s="277"/>
      <c r="F9" s="277"/>
      <c r="G9" s="277"/>
      <c r="H9" s="277"/>
      <c r="I9" s="273"/>
      <c r="J9" s="273"/>
      <c r="K9" s="273"/>
      <c r="L9" s="273"/>
      <c r="M9" s="273"/>
      <c r="N9" s="273"/>
      <c r="O9" s="273"/>
    </row>
    <row r="10" spans="1:21" x14ac:dyDescent="0.15">
      <c r="A10" s="277" t="s">
        <v>57</v>
      </c>
      <c r="B10" s="277"/>
      <c r="C10" s="277">
        <f>-146.851</f>
        <v>-146.851</v>
      </c>
      <c r="D10" s="277"/>
      <c r="E10" s="277"/>
      <c r="F10" s="277">
        <f>-146.89</f>
        <v>-146.88999999999999</v>
      </c>
      <c r="G10" s="277"/>
      <c r="H10" s="277"/>
      <c r="I10" s="273">
        <f>C10*13.6056923</f>
        <v>-1998.0095199472999</v>
      </c>
      <c r="J10" s="273">
        <f t="shared" ref="J10:J14" si="3">F10*13.6056923</f>
        <v>-1998.5401419469997</v>
      </c>
      <c r="K10" s="273"/>
      <c r="L10" s="273">
        <f t="shared" ref="L10:L14" si="4">J10-I10</f>
        <v>-0.53062199969986068</v>
      </c>
      <c r="M10" s="273"/>
      <c r="N10" s="273"/>
      <c r="O10" s="273"/>
    </row>
    <row r="11" spans="1:21" x14ac:dyDescent="0.15">
      <c r="A11" s="277"/>
      <c r="B11" s="277"/>
      <c r="C11" s="277"/>
      <c r="D11" s="277"/>
      <c r="E11" s="277"/>
      <c r="F11" s="277"/>
      <c r="G11" s="277"/>
      <c r="H11" s="277"/>
      <c r="I11" s="273"/>
      <c r="J11" s="273"/>
      <c r="K11" s="273"/>
      <c r="L11" s="273"/>
      <c r="M11" s="273"/>
      <c r="N11" s="273"/>
      <c r="O11" s="273"/>
    </row>
    <row r="12" spans="1:21" x14ac:dyDescent="0.15">
      <c r="A12" s="277" t="s">
        <v>58</v>
      </c>
      <c r="B12" s="277"/>
      <c r="C12" s="277">
        <f>-117.805</f>
        <v>-117.80500000000001</v>
      </c>
      <c r="D12" s="277"/>
      <c r="E12" s="277"/>
      <c r="F12" s="277">
        <f>-117.729</f>
        <v>-117.729</v>
      </c>
      <c r="G12" s="277"/>
      <c r="H12" s="277"/>
      <c r="I12" s="273">
        <f t="shared" ref="I12:I14" si="5">C12*13.6056923</f>
        <v>-1602.8185814015001</v>
      </c>
      <c r="J12" s="273">
        <f t="shared" si="3"/>
        <v>-1601.7845487866998</v>
      </c>
      <c r="K12" s="273"/>
      <c r="L12" s="273">
        <f t="shared" si="4"/>
        <v>1.0340326148002532</v>
      </c>
      <c r="M12" s="273"/>
      <c r="N12" s="273"/>
      <c r="O12" s="273"/>
    </row>
    <row r="13" spans="1:21" x14ac:dyDescent="0.15">
      <c r="A13" s="277"/>
      <c r="B13" s="277"/>
      <c r="C13" s="277"/>
      <c r="D13" s="277"/>
      <c r="E13" s="277"/>
      <c r="F13" s="277"/>
      <c r="G13" s="277"/>
      <c r="H13" s="277"/>
      <c r="I13" s="273"/>
      <c r="J13" s="273"/>
      <c r="K13" s="273"/>
      <c r="L13" s="273"/>
      <c r="M13" s="273"/>
      <c r="N13" s="273"/>
      <c r="O13" s="273"/>
    </row>
    <row r="14" spans="1:21" x14ac:dyDescent="0.15">
      <c r="A14" s="277" t="s">
        <v>59</v>
      </c>
      <c r="B14" s="277"/>
      <c r="C14" s="277">
        <f>-11.954</f>
        <v>-11.954000000000001</v>
      </c>
      <c r="D14" s="277"/>
      <c r="E14" s="277"/>
      <c r="F14" s="277">
        <f>-11.974</f>
        <v>-11.974</v>
      </c>
      <c r="G14" s="277"/>
      <c r="H14" s="277"/>
      <c r="I14" s="273">
        <f t="shared" si="5"/>
        <v>-162.6424457542</v>
      </c>
      <c r="J14" s="273">
        <f t="shared" si="3"/>
        <v>-162.91455960019999</v>
      </c>
      <c r="K14" s="273"/>
      <c r="L14" s="274">
        <f t="shared" si="4"/>
        <v>-0.27211384599999633</v>
      </c>
      <c r="M14" s="274"/>
      <c r="N14" s="273"/>
      <c r="O14" s="273"/>
    </row>
    <row r="15" spans="1:21" x14ac:dyDescent="0.15">
      <c r="A15" s="277"/>
      <c r="B15" s="277"/>
      <c r="C15" s="277"/>
      <c r="D15" s="277"/>
      <c r="E15" s="277"/>
      <c r="F15" s="277"/>
      <c r="G15" s="277"/>
      <c r="H15" s="277"/>
      <c r="I15" s="273"/>
      <c r="J15" s="273"/>
      <c r="K15" s="273"/>
      <c r="L15" s="274"/>
      <c r="M15" s="274"/>
      <c r="N15" s="273"/>
      <c r="O15" s="273"/>
    </row>
    <row r="16" spans="1:21" x14ac:dyDescent="0.15">
      <c r="A16" s="277" t="s">
        <v>60</v>
      </c>
      <c r="B16" s="277"/>
      <c r="C16" s="277">
        <f>-40.382</f>
        <v>-40.381999999999998</v>
      </c>
      <c r="D16" s="277"/>
      <c r="E16" s="277"/>
      <c r="F16" s="277">
        <f>-40.404</f>
        <v>-40.404000000000003</v>
      </c>
      <c r="G16" s="277"/>
      <c r="H16" s="277"/>
      <c r="I16" s="273">
        <f>C16*13.6056923</f>
        <v>-549.42506645859999</v>
      </c>
      <c r="J16" s="273">
        <f>F16*13.6056923</f>
        <v>-549.72439168920005</v>
      </c>
      <c r="K16" s="273"/>
      <c r="L16" s="274">
        <f>J16-I16</f>
        <v>-0.29932523060006133</v>
      </c>
      <c r="M16" s="274"/>
      <c r="N16" s="273"/>
      <c r="O16" s="273"/>
    </row>
    <row r="17" spans="1:15" x14ac:dyDescent="0.15">
      <c r="A17" s="277"/>
      <c r="B17" s="277"/>
      <c r="C17" s="277"/>
      <c r="D17" s="277"/>
      <c r="E17" s="277"/>
      <c r="F17" s="277"/>
      <c r="G17" s="277"/>
      <c r="H17" s="277"/>
      <c r="I17" s="273"/>
      <c r="J17" s="273"/>
      <c r="K17" s="273"/>
      <c r="L17" s="274"/>
      <c r="M17" s="274"/>
      <c r="N17" s="273"/>
      <c r="O17" s="273"/>
    </row>
    <row r="18" spans="1:15" x14ac:dyDescent="0.15">
      <c r="A18" s="277" t="s">
        <v>61</v>
      </c>
      <c r="B18" s="277"/>
      <c r="C18" s="277">
        <f>-2.332</f>
        <v>-2.3319999999999999</v>
      </c>
      <c r="D18" s="277"/>
      <c r="E18" s="277"/>
      <c r="F18" s="277">
        <f>-2.351</f>
        <v>-2.351</v>
      </c>
      <c r="G18" s="277"/>
      <c r="H18" s="277"/>
      <c r="I18" s="273">
        <f>C18*13.6056923</f>
        <v>-31.728474443599996</v>
      </c>
      <c r="J18" s="273">
        <f>F18*13.6056923</f>
        <v>-31.986982597299999</v>
      </c>
      <c r="K18" s="273"/>
      <c r="L18" s="273">
        <f>J18-I18</f>
        <v>-0.25850815370000291</v>
      </c>
      <c r="M18" s="273"/>
      <c r="N18" s="273"/>
      <c r="O18" s="273"/>
    </row>
    <row r="19" spans="1:15" x14ac:dyDescent="0.15">
      <c r="A19" s="277"/>
      <c r="B19" s="277"/>
      <c r="C19" s="277"/>
      <c r="D19" s="277"/>
      <c r="E19" s="277"/>
      <c r="F19" s="277"/>
      <c r="G19" s="277"/>
      <c r="H19" s="277"/>
      <c r="I19" s="273"/>
      <c r="J19" s="273"/>
      <c r="K19" s="273"/>
      <c r="L19" s="273"/>
      <c r="M19" s="273"/>
      <c r="N19" s="273"/>
      <c r="O19" s="273"/>
    </row>
    <row r="20" spans="1:15" x14ac:dyDescent="0.15">
      <c r="A20" s="277" t="s">
        <v>47</v>
      </c>
      <c r="B20" s="277"/>
      <c r="C20" s="279" t="s">
        <v>62</v>
      </c>
      <c r="D20" s="280"/>
      <c r="E20" s="280"/>
      <c r="F20" s="279" t="s">
        <v>63</v>
      </c>
      <c r="G20" s="280"/>
      <c r="H20" s="280"/>
      <c r="I20" s="275"/>
      <c r="J20" s="275"/>
      <c r="K20" s="275"/>
      <c r="L20" s="273"/>
      <c r="M20" s="273"/>
    </row>
    <row r="21" spans="1:15" x14ac:dyDescent="0.15">
      <c r="A21" s="277"/>
      <c r="B21" s="277"/>
      <c r="C21" s="280"/>
      <c r="D21" s="280"/>
      <c r="E21" s="280"/>
      <c r="F21" s="280"/>
      <c r="G21" s="280"/>
      <c r="H21" s="280"/>
      <c r="I21" s="275"/>
      <c r="J21" s="275"/>
      <c r="K21" s="275"/>
      <c r="L21" s="273"/>
      <c r="M21" s="273"/>
    </row>
    <row r="22" spans="1:15" x14ac:dyDescent="0.15">
      <c r="A22" s="277" t="s">
        <v>38</v>
      </c>
      <c r="B22" s="277"/>
      <c r="C22" s="277">
        <f>-5.49</f>
        <v>-5.49</v>
      </c>
      <c r="D22" s="277"/>
      <c r="E22" s="277"/>
      <c r="F22" s="277">
        <f>-5.86</f>
        <v>-5.86</v>
      </c>
      <c r="G22" s="277"/>
      <c r="H22" s="277"/>
      <c r="I22" s="275">
        <f>I4-I14-3*I18-0.5*I16-I10-1.5*I12</f>
        <v>-5.5171082276501693</v>
      </c>
      <c r="J22" s="275">
        <f>J4-J14-3*J18-0.5*J16-J10-1.5*J12</f>
        <v>-5.8708562274496217</v>
      </c>
      <c r="K22" s="275"/>
      <c r="L22" s="273">
        <f t="shared" ref="L22:L26" si="6">J22-I22</f>
        <v>-0.35374799979945237</v>
      </c>
      <c r="M22" s="273"/>
    </row>
    <row r="23" spans="1:15" x14ac:dyDescent="0.15">
      <c r="A23" s="277"/>
      <c r="B23" s="277"/>
      <c r="C23" s="277"/>
      <c r="D23" s="277"/>
      <c r="E23" s="277"/>
      <c r="F23" s="277"/>
      <c r="G23" s="277"/>
      <c r="H23" s="277"/>
      <c r="I23" s="275"/>
      <c r="J23" s="275"/>
      <c r="K23" s="275"/>
      <c r="L23" s="273"/>
      <c r="M23" s="273"/>
    </row>
    <row r="24" spans="1:15" x14ac:dyDescent="0.15">
      <c r="A24" s="277" t="s">
        <v>39</v>
      </c>
      <c r="B24" s="277"/>
      <c r="C24" s="277">
        <f>-2.39</f>
        <v>-2.39</v>
      </c>
      <c r="D24" s="277"/>
      <c r="E24" s="277"/>
      <c r="F24" s="277">
        <f>-2.8</f>
        <v>-2.8</v>
      </c>
      <c r="G24" s="277"/>
      <c r="H24" s="277"/>
      <c r="I24" s="275">
        <f>(C6-C10-C12)*13.6056923</f>
        <v>-2.394601844799833</v>
      </c>
      <c r="J24" s="275">
        <f>(F6-F10-F12)*13.6056923</f>
        <v>-2.8027726138000415</v>
      </c>
      <c r="K24" s="275"/>
      <c r="L24" s="273">
        <f t="shared" si="6"/>
        <v>-0.40817076900020854</v>
      </c>
      <c r="M24" s="273"/>
    </row>
    <row r="25" spans="1:15" x14ac:dyDescent="0.15">
      <c r="A25" s="277"/>
      <c r="B25" s="277"/>
      <c r="C25" s="277"/>
      <c r="D25" s="277"/>
      <c r="E25" s="277"/>
      <c r="F25" s="277"/>
      <c r="G25" s="277"/>
      <c r="H25" s="277"/>
      <c r="I25" s="275"/>
      <c r="J25" s="275"/>
      <c r="K25" s="275"/>
      <c r="L25" s="273"/>
      <c r="M25" s="273"/>
    </row>
    <row r="26" spans="1:15" x14ac:dyDescent="0.15">
      <c r="A26" s="277" t="s">
        <v>12</v>
      </c>
      <c r="B26" s="277"/>
      <c r="C26" s="276">
        <f>-2.33</f>
        <v>-2.33</v>
      </c>
      <c r="D26" s="276"/>
      <c r="E26" s="276"/>
      <c r="F26" s="277">
        <f>-3.02</f>
        <v>-3.02</v>
      </c>
      <c r="G26" s="277"/>
      <c r="H26" s="277"/>
      <c r="I26" s="275">
        <f>I8-I14-3*I18-0.5*I16-0.5*I12</f>
        <v>-3.0272665367500622</v>
      </c>
      <c r="J26" s="275">
        <f>(F8-F14-0.5*F16-3*F18-0.5*F12)*13.6056923</f>
        <v>-3.0136608444499853</v>
      </c>
      <c r="K26" s="275"/>
      <c r="L26" s="273">
        <f t="shared" si="6"/>
        <v>1.360569230007691E-2</v>
      </c>
      <c r="M26" s="273"/>
    </row>
    <row r="27" spans="1:15" x14ac:dyDescent="0.15">
      <c r="A27" s="277"/>
      <c r="B27" s="277"/>
      <c r="C27" s="276"/>
      <c r="D27" s="276"/>
      <c r="E27" s="276"/>
      <c r="F27" s="277"/>
      <c r="G27" s="277"/>
      <c r="H27" s="277"/>
      <c r="I27" s="275"/>
      <c r="J27" s="275"/>
      <c r="K27" s="275"/>
      <c r="L27" s="273"/>
      <c r="M27" s="273"/>
    </row>
    <row r="28" spans="1:15" x14ac:dyDescent="0.15">
      <c r="A28" s="275"/>
      <c r="B28" s="275"/>
      <c r="C28" s="275"/>
      <c r="D28" s="275"/>
      <c r="E28" s="275"/>
      <c r="F28" s="275"/>
      <c r="G28" s="275"/>
      <c r="H28" s="275"/>
    </row>
    <row r="29" spans="1:15" x14ac:dyDescent="0.15">
      <c r="A29" s="275"/>
      <c r="B29" s="275"/>
      <c r="C29" s="275"/>
      <c r="D29" s="275"/>
      <c r="E29" s="275"/>
      <c r="F29" s="275"/>
      <c r="G29" s="275"/>
      <c r="H29" s="275"/>
    </row>
    <row r="30" spans="1:15" x14ac:dyDescent="0.15">
      <c r="A30" s="275"/>
      <c r="B30" s="275"/>
      <c r="C30" s="275"/>
      <c r="D30" s="275"/>
      <c r="E30" s="275"/>
      <c r="F30" s="275"/>
      <c r="G30" s="275"/>
      <c r="H30" s="275"/>
    </row>
    <row r="31" spans="1:15" x14ac:dyDescent="0.15">
      <c r="A31" s="275"/>
      <c r="B31" s="275"/>
      <c r="C31" s="275"/>
      <c r="D31" s="275"/>
      <c r="E31" s="275"/>
      <c r="F31" s="275"/>
      <c r="G31" s="275"/>
      <c r="H31" s="275"/>
    </row>
    <row r="32" spans="1:15" x14ac:dyDescent="0.15">
      <c r="A32" s="275"/>
      <c r="B32" s="275"/>
      <c r="C32" s="275"/>
      <c r="D32" s="275"/>
      <c r="E32" s="275"/>
      <c r="F32" s="275"/>
      <c r="G32" s="275"/>
      <c r="H32" s="275"/>
    </row>
    <row r="33" spans="1:8" x14ac:dyDescent="0.15">
      <c r="A33" s="275"/>
      <c r="B33" s="275"/>
      <c r="C33" s="275"/>
      <c r="D33" s="275"/>
      <c r="E33" s="275"/>
      <c r="F33" s="275"/>
      <c r="G33" s="275"/>
      <c r="H33" s="275"/>
    </row>
    <row r="34" spans="1:8" x14ac:dyDescent="0.15">
      <c r="A34" s="275"/>
      <c r="B34" s="275"/>
    </row>
    <row r="35" spans="1:8" x14ac:dyDescent="0.15">
      <c r="A35" s="275"/>
      <c r="B35" s="275"/>
    </row>
    <row r="36" spans="1:8" x14ac:dyDescent="0.15">
      <c r="A36" s="275"/>
      <c r="B36" s="275"/>
    </row>
  </sheetData>
  <mergeCells count="101">
    <mergeCell ref="A36:B36"/>
    <mergeCell ref="I1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A12:B13"/>
    <mergeCell ref="A14:B15"/>
    <mergeCell ref="A16:B17"/>
    <mergeCell ref="A18:B19"/>
    <mergeCell ref="A20:B21"/>
    <mergeCell ref="A22:B23"/>
    <mergeCell ref="A24:B25"/>
    <mergeCell ref="A26:B27"/>
    <mergeCell ref="A28:B29"/>
    <mergeCell ref="A30:B31"/>
    <mergeCell ref="U1:U3"/>
    <mergeCell ref="A1:B3"/>
    <mergeCell ref="C1:E3"/>
    <mergeCell ref="F1:H3"/>
    <mergeCell ref="R1:T3"/>
    <mergeCell ref="A4:B5"/>
    <mergeCell ref="A6:B7"/>
    <mergeCell ref="A8:B9"/>
    <mergeCell ref="A10:B11"/>
    <mergeCell ref="J4:K5"/>
    <mergeCell ref="L4:M5"/>
    <mergeCell ref="N4:O5"/>
    <mergeCell ref="J6:K7"/>
    <mergeCell ref="L6:M7"/>
    <mergeCell ref="N6:O7"/>
    <mergeCell ref="J8:K9"/>
    <mergeCell ref="L8:M9"/>
    <mergeCell ref="N8:O9"/>
    <mergeCell ref="J10:K11"/>
    <mergeCell ref="L10:M11"/>
    <mergeCell ref="N10:O11"/>
    <mergeCell ref="R4:T4"/>
    <mergeCell ref="L1:M3"/>
    <mergeCell ref="N1:O3"/>
    <mergeCell ref="A32:B33"/>
    <mergeCell ref="A34:B35"/>
    <mergeCell ref="C4:E5"/>
    <mergeCell ref="F4:H5"/>
    <mergeCell ref="C6:E7"/>
    <mergeCell ref="F6:H7"/>
    <mergeCell ref="C8:E9"/>
    <mergeCell ref="F8:H9"/>
    <mergeCell ref="C10:E11"/>
    <mergeCell ref="F10:H11"/>
    <mergeCell ref="C12:E13"/>
    <mergeCell ref="F12:H13"/>
    <mergeCell ref="C14:E15"/>
    <mergeCell ref="F14:H15"/>
    <mergeCell ref="C16:E17"/>
    <mergeCell ref="F16:H17"/>
    <mergeCell ref="C18:E19"/>
    <mergeCell ref="F18:H19"/>
    <mergeCell ref="C20:E21"/>
    <mergeCell ref="F20:H21"/>
    <mergeCell ref="C22:E23"/>
    <mergeCell ref="F22:H23"/>
    <mergeCell ref="C24:E25"/>
    <mergeCell ref="F24:H25"/>
    <mergeCell ref="C26:E27"/>
    <mergeCell ref="F26:H27"/>
    <mergeCell ref="C28:E29"/>
    <mergeCell ref="F28:H29"/>
    <mergeCell ref="C30:E31"/>
    <mergeCell ref="F30:H31"/>
    <mergeCell ref="C32:E33"/>
    <mergeCell ref="F32:H33"/>
    <mergeCell ref="J1:K3"/>
    <mergeCell ref="J24:K25"/>
    <mergeCell ref="J26:K27"/>
    <mergeCell ref="J12:K13"/>
    <mergeCell ref="L12:M13"/>
    <mergeCell ref="N12:O13"/>
    <mergeCell ref="J14:K15"/>
    <mergeCell ref="L14:M15"/>
    <mergeCell ref="N14:O15"/>
    <mergeCell ref="J16:K17"/>
    <mergeCell ref="L16:M17"/>
    <mergeCell ref="N16:O17"/>
    <mergeCell ref="L26:M27"/>
    <mergeCell ref="J22:K23"/>
    <mergeCell ref="L22:M23"/>
    <mergeCell ref="J18:K19"/>
    <mergeCell ref="L18:M19"/>
    <mergeCell ref="N18:O19"/>
    <mergeCell ref="J20:K21"/>
    <mergeCell ref="L20:M21"/>
    <mergeCell ref="L24:M25"/>
  </mergeCells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cafferry</cp:lastModifiedBy>
  <dcterms:created xsi:type="dcterms:W3CDTF">2013-04-09T09:35:00Z</dcterms:created>
  <dcterms:modified xsi:type="dcterms:W3CDTF">2017-06-07T07:37:12Z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