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Z:\MBD\charged\"/>
    </mc:Choice>
  </mc:AlternateContent>
  <bookViews>
    <workbookView xWindow="0" yWindow="0" windowWidth="11685" windowHeight="6900"/>
  </bookViews>
  <sheets>
    <sheet name="Sheet1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M175" i="1" l="1"/>
  <c r="M193" i="1" l="1"/>
  <c r="M190" i="1"/>
  <c r="M178" i="1"/>
  <c r="M163" i="1"/>
  <c r="M160" i="1"/>
  <c r="M148" i="1"/>
  <c r="M145" i="1"/>
  <c r="M133" i="1"/>
  <c r="M130" i="1"/>
  <c r="M118" i="1"/>
  <c r="M115" i="1"/>
  <c r="M103" i="1"/>
  <c r="M100" i="1"/>
  <c r="M88" i="1"/>
  <c r="M85" i="1"/>
  <c r="M73" i="1"/>
  <c r="M70" i="1"/>
  <c r="M58" i="1"/>
  <c r="M55" i="1"/>
  <c r="M43" i="1"/>
  <c r="M40" i="1"/>
  <c r="M28" i="1"/>
  <c r="M25" i="1"/>
  <c r="M13" i="1"/>
  <c r="M10" i="1"/>
  <c r="K193" i="1"/>
  <c r="K190" i="1"/>
  <c r="K178" i="1"/>
  <c r="K175" i="1"/>
  <c r="K163" i="1"/>
  <c r="K160" i="1"/>
  <c r="K148" i="1"/>
  <c r="K145" i="1"/>
  <c r="K133" i="1"/>
  <c r="K130" i="1"/>
  <c r="K118" i="1"/>
  <c r="K115" i="1"/>
  <c r="K103" i="1"/>
  <c r="K100" i="1"/>
  <c r="K88" i="1"/>
  <c r="K85" i="1"/>
  <c r="K73" i="1"/>
  <c r="K70" i="1"/>
  <c r="K58" i="1"/>
  <c r="K55" i="1"/>
  <c r="K43" i="1"/>
  <c r="K40" i="1"/>
  <c r="K28" i="1"/>
  <c r="K25" i="1"/>
  <c r="K13" i="1"/>
  <c r="K10" i="1"/>
  <c r="B243" i="1" l="1"/>
  <c r="B239" i="1"/>
  <c r="E238" i="1"/>
  <c r="I234" i="1"/>
  <c r="E234" i="1"/>
  <c r="B234" i="1"/>
  <c r="L230" i="1"/>
  <c r="I230" i="1"/>
  <c r="E230" i="1"/>
  <c r="B230" i="1"/>
  <c r="L226" i="1"/>
  <c r="I226" i="1"/>
  <c r="E226" i="1"/>
  <c r="B226" i="1"/>
  <c r="O224" i="1"/>
  <c r="L222" i="1"/>
  <c r="I222" i="1"/>
  <c r="E222" i="1"/>
  <c r="L221" i="1"/>
  <c r="I221" i="1"/>
  <c r="E221" i="1"/>
  <c r="B221" i="1"/>
  <c r="R220" i="1"/>
  <c r="O220" i="1"/>
  <c r="A8" i="1" l="1"/>
  <c r="B8" i="1"/>
  <c r="A5" i="1"/>
  <c r="B5" i="1"/>
  <c r="B23" i="1"/>
  <c r="A23" i="1"/>
  <c r="B20" i="1"/>
  <c r="A20" i="1"/>
  <c r="G187" i="1" l="1"/>
  <c r="G172" i="1"/>
  <c r="G157" i="1"/>
  <c r="G142" i="1"/>
  <c r="G127" i="1"/>
  <c r="G112" i="1"/>
  <c r="G97" i="1"/>
  <c r="G82" i="1"/>
  <c r="G67" i="1"/>
  <c r="G52" i="1"/>
  <c r="G37" i="1"/>
  <c r="G22" i="1"/>
  <c r="G7" i="1"/>
  <c r="H97" i="1" l="1"/>
  <c r="I22" i="1"/>
  <c r="H22" i="1"/>
  <c r="I187" i="1" l="1"/>
  <c r="H187" i="1"/>
  <c r="G184" i="1"/>
  <c r="H184" i="1"/>
  <c r="I184" i="1"/>
  <c r="D184" i="1"/>
  <c r="E184" i="1"/>
  <c r="F184" i="1"/>
  <c r="I172" i="1"/>
  <c r="H172" i="1"/>
  <c r="J169" i="1"/>
  <c r="K169" i="1"/>
  <c r="L169" i="1"/>
  <c r="G169" i="1"/>
  <c r="H169" i="1"/>
  <c r="I169" i="1"/>
  <c r="I157" i="1"/>
  <c r="H157" i="1"/>
  <c r="J154" i="1"/>
  <c r="K154" i="1"/>
  <c r="L154" i="1"/>
  <c r="G154" i="1"/>
  <c r="H154" i="1"/>
  <c r="I154" i="1"/>
  <c r="A154" i="1"/>
  <c r="B154" i="1"/>
  <c r="C154" i="1"/>
  <c r="A157" i="1"/>
  <c r="B157" i="1"/>
  <c r="C157" i="1"/>
  <c r="F157" i="1"/>
  <c r="E157" i="1"/>
  <c r="D157" i="1"/>
  <c r="I142" i="1" l="1"/>
  <c r="H142" i="1"/>
  <c r="I127" i="1"/>
  <c r="H127" i="1"/>
  <c r="I112" i="1"/>
  <c r="H112" i="1"/>
  <c r="I97" i="1"/>
  <c r="A79" i="1"/>
  <c r="B79" i="1"/>
  <c r="C79" i="1"/>
  <c r="A82" i="1"/>
  <c r="B82" i="1"/>
  <c r="C82" i="1"/>
  <c r="I82" i="1"/>
  <c r="H82" i="1"/>
  <c r="F67" i="1"/>
  <c r="F187" i="1" s="1"/>
  <c r="D67" i="1"/>
  <c r="D187" i="1" s="1"/>
  <c r="E67" i="1"/>
  <c r="E187" i="1" s="1"/>
  <c r="I67" i="1"/>
  <c r="H67" i="1"/>
  <c r="I52" i="1"/>
  <c r="H52" i="1"/>
  <c r="I37" i="1"/>
  <c r="H37" i="1"/>
  <c r="F22" i="1"/>
  <c r="D22" i="1"/>
  <c r="E22" i="1"/>
  <c r="F7" i="1"/>
  <c r="D7" i="1"/>
  <c r="E7" i="1"/>
  <c r="I7" i="1"/>
  <c r="H7" i="1"/>
  <c r="A64" i="1" l="1"/>
  <c r="A184" i="1" s="1"/>
  <c r="B64" i="1"/>
  <c r="B184" i="1" s="1"/>
  <c r="C64" i="1"/>
  <c r="C184" i="1" s="1"/>
  <c r="A67" i="1"/>
  <c r="A187" i="1" s="1"/>
  <c r="B67" i="1"/>
  <c r="B187" i="1" s="1"/>
  <c r="C67" i="1"/>
  <c r="C187" i="1" s="1"/>
  <c r="A139" i="1" l="1"/>
  <c r="B139" i="1"/>
  <c r="C139" i="1"/>
  <c r="D139" i="1"/>
  <c r="E139" i="1"/>
  <c r="F139" i="1"/>
  <c r="G139" i="1"/>
  <c r="H139" i="1"/>
  <c r="I139" i="1"/>
  <c r="J139" i="1"/>
  <c r="K139" i="1"/>
  <c r="L139" i="1"/>
  <c r="A142" i="1"/>
  <c r="B142" i="1"/>
  <c r="C142" i="1"/>
  <c r="A145" i="1"/>
  <c r="D145" i="1"/>
  <c r="G145" i="1"/>
  <c r="J145" i="1"/>
  <c r="A148" i="1"/>
  <c r="D148" i="1"/>
  <c r="G148" i="1"/>
  <c r="J148" i="1"/>
  <c r="A130" i="1" l="1"/>
  <c r="D130" i="1"/>
  <c r="G130" i="1"/>
  <c r="J130" i="1"/>
  <c r="A133" i="1"/>
  <c r="D133" i="1"/>
  <c r="G133" i="1"/>
  <c r="J133" i="1"/>
  <c r="J124" i="1"/>
  <c r="K124" i="1"/>
  <c r="L124" i="1"/>
  <c r="J127" i="1"/>
  <c r="K127" i="1"/>
  <c r="L127" i="1"/>
  <c r="G124" i="1"/>
  <c r="H124" i="1"/>
  <c r="I124" i="1"/>
  <c r="D124" i="1"/>
  <c r="E124" i="1"/>
  <c r="F124" i="1"/>
  <c r="D127" i="1"/>
  <c r="E127" i="1"/>
  <c r="F127" i="1"/>
  <c r="A124" i="1"/>
  <c r="B124" i="1"/>
  <c r="C124" i="1"/>
  <c r="A127" i="1"/>
  <c r="B127" i="1"/>
  <c r="C127" i="1"/>
  <c r="D109" i="1"/>
  <c r="D169" i="1" s="1"/>
  <c r="E109" i="1"/>
  <c r="E169" i="1" s="1"/>
  <c r="F109" i="1"/>
  <c r="F169" i="1" s="1"/>
  <c r="D82" i="1"/>
  <c r="D112" i="1" s="1"/>
  <c r="D172" i="1" s="1"/>
  <c r="E82" i="1"/>
  <c r="E112" i="1" s="1"/>
  <c r="E172" i="1" s="1"/>
  <c r="F82" i="1"/>
  <c r="F112" i="1" s="1"/>
  <c r="F172" i="1" s="1"/>
  <c r="A94" i="1"/>
  <c r="A109" i="1" s="1"/>
  <c r="A169" i="1" s="1"/>
  <c r="B94" i="1"/>
  <c r="B109" i="1" s="1"/>
  <c r="B169" i="1" s="1"/>
  <c r="C94" i="1"/>
  <c r="C109" i="1" s="1"/>
  <c r="C169" i="1" s="1"/>
  <c r="D94" i="1"/>
  <c r="E94" i="1"/>
  <c r="F94" i="1"/>
  <c r="J94" i="1"/>
  <c r="K94" i="1"/>
  <c r="L94" i="1"/>
  <c r="A97" i="1"/>
  <c r="A112" i="1" s="1"/>
  <c r="A172" i="1" s="1"/>
  <c r="B97" i="1"/>
  <c r="B112" i="1" s="1"/>
  <c r="B172" i="1" s="1"/>
  <c r="C97" i="1"/>
  <c r="C112" i="1" s="1"/>
  <c r="C172" i="1" s="1"/>
  <c r="D97" i="1"/>
  <c r="E97" i="1"/>
  <c r="F97" i="1"/>
  <c r="F26" i="2"/>
  <c r="C26" i="2"/>
  <c r="F24" i="2"/>
  <c r="C24" i="2"/>
  <c r="F22" i="2"/>
  <c r="C22" i="2"/>
  <c r="J18" i="2"/>
  <c r="I18" i="2"/>
  <c r="F18" i="2"/>
  <c r="C18" i="2"/>
  <c r="J16" i="2"/>
  <c r="L16" i="2" s="1"/>
  <c r="F16" i="2"/>
  <c r="C16" i="2"/>
  <c r="I16" i="2" s="1"/>
  <c r="F14" i="2"/>
  <c r="J14" i="2" s="1"/>
  <c r="L14" i="2" s="1"/>
  <c r="C14" i="2"/>
  <c r="I14" i="2" s="1"/>
  <c r="F12" i="2"/>
  <c r="J12" i="2" s="1"/>
  <c r="C12" i="2"/>
  <c r="I12" i="2" s="1"/>
  <c r="F10" i="2"/>
  <c r="J10" i="2" s="1"/>
  <c r="C10" i="2"/>
  <c r="I10" i="2" s="1"/>
  <c r="L10" i="2" s="1"/>
  <c r="J8" i="2"/>
  <c r="F8" i="2"/>
  <c r="C8" i="2"/>
  <c r="I8" i="2" s="1"/>
  <c r="I6" i="2"/>
  <c r="F6" i="2"/>
  <c r="J24" i="2" s="1"/>
  <c r="C6" i="2"/>
  <c r="I4" i="2"/>
  <c r="F4" i="2"/>
  <c r="J4" i="2" s="1"/>
  <c r="C4" i="2"/>
  <c r="Q64" i="1"/>
  <c r="O64" i="1"/>
  <c r="S55" i="1"/>
  <c r="Q55" i="1"/>
  <c r="P55" i="1"/>
  <c r="O55" i="1"/>
  <c r="R54" i="1"/>
  <c r="Q54" i="1"/>
  <c r="P54" i="1"/>
  <c r="S54" i="1" s="1"/>
  <c r="O54" i="1"/>
  <c r="S53" i="1"/>
  <c r="Q53" i="1"/>
  <c r="P53" i="1"/>
  <c r="O53" i="1"/>
  <c r="E52" i="1"/>
  <c r="E142" i="1" s="1"/>
  <c r="Q50" i="1"/>
  <c r="P49" i="1"/>
  <c r="Q48" i="1"/>
  <c r="O48" i="1"/>
  <c r="Q44" i="1"/>
  <c r="P44" i="1"/>
  <c r="S44" i="1" s="1"/>
  <c r="O44" i="1"/>
  <c r="Q43" i="1"/>
  <c r="Q46" i="1" s="1"/>
  <c r="P43" i="1"/>
  <c r="P46" i="1" s="1"/>
  <c r="L37" i="1"/>
  <c r="J37" i="1"/>
  <c r="F37" i="1"/>
  <c r="F52" i="1" s="1"/>
  <c r="F142" i="1" s="1"/>
  <c r="E37" i="1"/>
  <c r="D37" i="1"/>
  <c r="D52" i="1" s="1"/>
  <c r="D142" i="1" s="1"/>
  <c r="S36" i="1"/>
  <c r="R36" i="1"/>
  <c r="P35" i="1"/>
  <c r="P48" i="1" s="1"/>
  <c r="R48" i="1" s="1"/>
  <c r="S34" i="1"/>
  <c r="R34" i="1"/>
  <c r="S33" i="1"/>
  <c r="R33" i="1"/>
  <c r="O33" i="1"/>
  <c r="O43" i="1" s="1"/>
  <c r="O46" i="1" s="1"/>
  <c r="R46" i="1" s="1"/>
  <c r="S32" i="1"/>
  <c r="R32" i="1"/>
  <c r="S31" i="1"/>
  <c r="P31" i="1"/>
  <c r="P50" i="1" s="1"/>
  <c r="O31" i="1"/>
  <c r="O50" i="1" s="1"/>
  <c r="U23" i="1"/>
  <c r="L22" i="1"/>
  <c r="L97" i="1" s="1"/>
  <c r="L112" i="1" s="1"/>
  <c r="L172" i="1" s="1"/>
  <c r="J22" i="1"/>
  <c r="J97" i="1" s="1"/>
  <c r="J112" i="1" s="1"/>
  <c r="J172" i="1" s="1"/>
  <c r="U20" i="1"/>
  <c r="U17" i="1"/>
  <c r="U16" i="1"/>
  <c r="C8" i="1"/>
  <c r="C128" i="1" s="1"/>
  <c r="J52" i="1" l="1"/>
  <c r="J142" i="1" s="1"/>
  <c r="J157" i="1"/>
  <c r="J187" i="1" s="1"/>
  <c r="L8" i="2"/>
  <c r="L18" i="2"/>
  <c r="L52" i="1"/>
  <c r="L142" i="1" s="1"/>
  <c r="L157" i="1"/>
  <c r="L187" i="1" s="1"/>
  <c r="R35" i="1"/>
  <c r="O49" i="1"/>
  <c r="I22" i="2"/>
  <c r="I26" i="2"/>
  <c r="L12" i="2"/>
  <c r="O52" i="1"/>
  <c r="R53" i="1"/>
  <c r="R55" i="1"/>
  <c r="I24" i="2"/>
  <c r="L24" i="2" s="1"/>
  <c r="J26" i="2"/>
  <c r="A98" i="1"/>
  <c r="A113" i="1" s="1"/>
  <c r="A173" i="1" s="1"/>
  <c r="A83" i="1"/>
  <c r="C68" i="1"/>
  <c r="C188" i="1" s="1"/>
  <c r="O38" i="1"/>
  <c r="O39" i="1" s="1"/>
  <c r="O41" i="1" s="1"/>
  <c r="O37" i="1"/>
  <c r="O40" i="1" s="1"/>
  <c r="P52" i="1"/>
  <c r="S50" i="1"/>
  <c r="P51" i="1"/>
  <c r="R50" i="1"/>
  <c r="L4" i="2"/>
  <c r="J22" i="2"/>
  <c r="L22" i="2" s="1"/>
  <c r="C23" i="1"/>
  <c r="S49" i="1"/>
  <c r="J67" i="1"/>
  <c r="J82" i="1" s="1"/>
  <c r="K37" i="1"/>
  <c r="K157" i="1" s="1"/>
  <c r="K187" i="1" s="1"/>
  <c r="K22" i="1"/>
  <c r="K97" i="1" s="1"/>
  <c r="K112" i="1" s="1"/>
  <c r="K172" i="1" s="1"/>
  <c r="R31" i="1"/>
  <c r="R43" i="1"/>
  <c r="R49" i="1"/>
  <c r="L67" i="1"/>
  <c r="L82" i="1" s="1"/>
  <c r="L26" i="2"/>
  <c r="S43" i="1"/>
  <c r="R44" i="1"/>
  <c r="S46" i="1"/>
  <c r="S48" i="1"/>
  <c r="O51" i="1"/>
  <c r="Q49" i="1"/>
  <c r="S35" i="1"/>
  <c r="J6" i="2"/>
  <c r="L6" i="2" s="1"/>
  <c r="O45" i="1" l="1"/>
  <c r="O42" i="1"/>
  <c r="C98" i="1"/>
  <c r="C113" i="1" s="1"/>
  <c r="C173" i="1" s="1"/>
  <c r="C83" i="1"/>
  <c r="A68" i="1"/>
  <c r="A188" i="1" s="1"/>
  <c r="A128" i="1"/>
  <c r="B68" i="1"/>
  <c r="B188" i="1" s="1"/>
  <c r="B128" i="1"/>
  <c r="Q52" i="1"/>
  <c r="S52" i="1" s="1"/>
  <c r="Q51" i="1"/>
  <c r="S51" i="1" s="1"/>
  <c r="R51" i="1"/>
  <c r="K67" i="1"/>
  <c r="K82" i="1" s="1"/>
  <c r="K52" i="1"/>
  <c r="K142" i="1" s="1"/>
  <c r="U25" i="1"/>
  <c r="R52" i="1"/>
  <c r="P38" i="1"/>
  <c r="P39" i="1" s="1"/>
  <c r="P37" i="1"/>
  <c r="P40" i="1" s="1"/>
  <c r="B98" i="1" l="1"/>
  <c r="B113" i="1" s="1"/>
  <c r="B173" i="1" s="1"/>
  <c r="B83" i="1"/>
  <c r="R38" i="1"/>
  <c r="R37" i="1"/>
  <c r="Q38" i="1"/>
  <c r="Q39" i="1" s="1"/>
  <c r="Q37" i="1"/>
  <c r="Q40" i="1" s="1"/>
  <c r="P45" i="1"/>
  <c r="P42" i="1"/>
  <c r="R40" i="1"/>
  <c r="S38" i="1"/>
  <c r="S37" i="1"/>
  <c r="S40" i="1" s="1"/>
  <c r="R39" i="1"/>
  <c r="P41" i="1"/>
  <c r="Q42" i="1" l="1"/>
  <c r="Q45" i="1"/>
  <c r="S45" i="1" s="1"/>
  <c r="A80" i="1"/>
  <c r="E85" i="1" s="1"/>
  <c r="A38" i="1"/>
  <c r="A158" i="1" s="1"/>
  <c r="E163" i="1" s="1"/>
  <c r="S42" i="1"/>
  <c r="R42" i="1"/>
  <c r="Q41" i="1"/>
  <c r="S41" i="1" s="1"/>
  <c r="S39" i="1"/>
  <c r="A35" i="1"/>
  <c r="A155" i="1" s="1"/>
  <c r="R41" i="1"/>
  <c r="C5" i="1"/>
  <c r="C35" i="1"/>
  <c r="C155" i="1" s="1"/>
  <c r="R45" i="1"/>
  <c r="C20" i="1"/>
  <c r="C80" i="1" s="1"/>
  <c r="C38" i="1"/>
  <c r="C158" i="1" s="1"/>
  <c r="E40" i="1" l="1"/>
  <c r="E28" i="1"/>
  <c r="E103" i="1"/>
  <c r="C95" i="1"/>
  <c r="E13" i="1"/>
  <c r="E43" i="1"/>
  <c r="E133" i="1"/>
  <c r="E25" i="1"/>
  <c r="A95" i="1"/>
  <c r="E73" i="1"/>
  <c r="C65" i="1"/>
  <c r="C125" i="1"/>
  <c r="E88" i="1"/>
  <c r="A65" i="1"/>
  <c r="E118" i="1"/>
  <c r="E10" i="1"/>
  <c r="A125" i="1"/>
  <c r="E130" i="1" s="1"/>
  <c r="C53" i="1"/>
  <c r="C50" i="1"/>
  <c r="A50" i="1"/>
  <c r="A53" i="1"/>
  <c r="E58" i="1" s="1"/>
  <c r="E160" i="1" l="1"/>
  <c r="C185" i="1"/>
  <c r="E70" i="1"/>
  <c r="A185" i="1"/>
  <c r="E178" i="1"/>
  <c r="C110" i="1"/>
  <c r="E100" i="1"/>
  <c r="A110" i="1"/>
  <c r="C143" i="1"/>
  <c r="E55" i="1"/>
  <c r="A140" i="1"/>
  <c r="A143" i="1"/>
  <c r="E148" i="1" s="1"/>
  <c r="C140" i="1"/>
  <c r="E190" i="1" l="1"/>
  <c r="E115" i="1"/>
  <c r="A170" i="1"/>
  <c r="E175" i="1" s="1"/>
  <c r="E145" i="1"/>
  <c r="E193" i="1"/>
  <c r="C170" i="1"/>
  <c r="B80" i="1"/>
  <c r="H85" i="1" s="1"/>
  <c r="M82" i="1" s="1"/>
  <c r="H73" i="1"/>
  <c r="H88" i="1"/>
  <c r="H118" i="1"/>
  <c r="B95" i="1"/>
  <c r="B65" i="1"/>
  <c r="B125" i="1"/>
  <c r="B35" i="1"/>
  <c r="B155" i="1" s="1"/>
  <c r="B38" i="1"/>
  <c r="B158" i="1" s="1"/>
  <c r="H163" i="1" s="1"/>
  <c r="H160" i="1" l="1"/>
  <c r="B160" i="1" s="1"/>
  <c r="M154" i="1" s="1"/>
  <c r="B163" i="1"/>
  <c r="H70" i="1"/>
  <c r="M67" i="1" s="1"/>
  <c r="B185" i="1"/>
  <c r="H190" i="1" s="1"/>
  <c r="H178" i="1"/>
  <c r="H43" i="1"/>
  <c r="H13" i="1"/>
  <c r="H133" i="1"/>
  <c r="B110" i="1"/>
  <c r="H100" i="1"/>
  <c r="M97" i="1" s="1"/>
  <c r="H40" i="1"/>
  <c r="M37" i="1" s="1"/>
  <c r="H28" i="1"/>
  <c r="B85" i="1"/>
  <c r="M79" i="1" s="1"/>
  <c r="H25" i="1"/>
  <c r="M22" i="1" s="1"/>
  <c r="H10" i="1"/>
  <c r="B88" i="1"/>
  <c r="B73" i="1"/>
  <c r="B118" i="1"/>
  <c r="B70" i="1"/>
  <c r="M64" i="1" s="1"/>
  <c r="B53" i="1"/>
  <c r="H58" i="1" s="1"/>
  <c r="B50" i="1"/>
  <c r="O83" i="1" l="1"/>
  <c r="M157" i="1"/>
  <c r="P89" i="1"/>
  <c r="M7" i="1"/>
  <c r="B178" i="1"/>
  <c r="B190" i="1"/>
  <c r="M184" i="1" s="1"/>
  <c r="M187" i="1"/>
  <c r="O80" i="1"/>
  <c r="T80" i="1" s="1"/>
  <c r="H115" i="1"/>
  <c r="M112" i="1" s="1"/>
  <c r="B170" i="1"/>
  <c r="H175" i="1" s="1"/>
  <c r="M172" i="1" s="1"/>
  <c r="H193" i="1"/>
  <c r="O92" i="1"/>
  <c r="O77" i="1"/>
  <c r="T77" i="1" s="1"/>
  <c r="H55" i="1"/>
  <c r="M52" i="1" s="1"/>
  <c r="H103" i="1"/>
  <c r="B25" i="1"/>
  <c r="M19" i="1" s="1"/>
  <c r="B115" i="1"/>
  <c r="M109" i="1" s="1"/>
  <c r="H130" i="1"/>
  <c r="P74" i="1"/>
  <c r="U74" i="1" s="1"/>
  <c r="B100" i="1"/>
  <c r="M94" i="1" s="1"/>
  <c r="B13" i="1"/>
  <c r="B140" i="1"/>
  <c r="H145" i="1" s="1"/>
  <c r="M142" i="1" s="1"/>
  <c r="B28" i="1"/>
  <c r="O86" i="1"/>
  <c r="B143" i="1"/>
  <c r="H148" i="1" s="1"/>
  <c r="B133" i="1"/>
  <c r="B10" i="1"/>
  <c r="M4" i="1" s="1"/>
  <c r="O74" i="1"/>
  <c r="T74" i="1" s="1"/>
  <c r="O89" i="1"/>
  <c r="P77" i="1"/>
  <c r="U77" i="1" s="1"/>
  <c r="P80" i="1"/>
  <c r="U80" i="1" s="1"/>
  <c r="P92" i="1"/>
  <c r="P83" i="1"/>
  <c r="P86" i="1"/>
  <c r="B40" i="1"/>
  <c r="M34" i="1" s="1"/>
  <c r="T83" i="1"/>
  <c r="B43" i="1"/>
  <c r="Q89" i="1" l="1"/>
  <c r="B130" i="1"/>
  <c r="M124" i="1" s="1"/>
  <c r="M127" i="1"/>
  <c r="Q92" i="1"/>
  <c r="B193" i="1"/>
  <c r="B175" i="1"/>
  <c r="M169" i="1" s="1"/>
  <c r="Q86" i="1"/>
  <c r="B145" i="1"/>
  <c r="M139" i="1" s="1"/>
  <c r="B148" i="1"/>
  <c r="B103" i="1"/>
  <c r="B58" i="1"/>
  <c r="B55" i="1"/>
  <c r="M49" i="1" s="1"/>
  <c r="Q74" i="1"/>
  <c r="Q77" i="1"/>
  <c r="U83" i="1"/>
  <c r="Q83" i="1"/>
  <c r="Q80" i="1"/>
</calcChain>
</file>

<file path=xl/sharedStrings.xml><?xml version="1.0" encoding="utf-8"?>
<sst xmlns="http://schemas.openxmlformats.org/spreadsheetml/2006/main" count="408" uniqueCount="136">
  <si>
    <t>Pb(Bulk)</t>
  </si>
  <si>
    <r>
      <rPr>
        <b/>
        <sz val="11"/>
        <color theme="1"/>
        <rFont val="宋体"/>
        <family val="3"/>
        <charset val="134"/>
      </rPr>
      <t>E(MAPbI</t>
    </r>
    <r>
      <rPr>
        <b/>
        <sz val="8"/>
        <color theme="1"/>
        <rFont val="宋体"/>
        <family val="3"/>
        <charset val="134"/>
      </rPr>
      <t>3</t>
    </r>
    <r>
      <rPr>
        <b/>
        <sz val="11"/>
        <color theme="1"/>
        <rFont val="宋体"/>
        <family val="3"/>
        <charset val="134"/>
      </rPr>
      <t>)perfect</t>
    </r>
  </si>
  <si>
    <t>MA(Four Molecule)</t>
  </si>
  <si>
    <t>SCS</t>
  </si>
  <si>
    <t>PBE</t>
  </si>
  <si>
    <t>TS</t>
  </si>
  <si>
    <t>PBE+SCS</t>
  </si>
  <si>
    <t>PBE+TS</t>
  </si>
  <si>
    <t>MA</t>
  </si>
  <si>
    <t>I</t>
  </si>
  <si>
    <t>Pb</t>
  </si>
  <si>
    <t>MAI</t>
  </si>
  <si>
    <t>SCS
Pb-poor</t>
  </si>
  <si>
    <t>PBE
Pb-poor</t>
  </si>
  <si>
    <t>TS
Pb-poor</t>
  </si>
  <si>
    <t>SCS
Pb-rich</t>
  </si>
  <si>
    <t>PBE
Pb-rich</t>
  </si>
  <si>
    <t>TS
Pb-rich</t>
  </si>
  <si>
    <r>
      <rPr>
        <b/>
        <sz val="12"/>
        <color theme="1"/>
        <rFont val="Times New Roman"/>
        <family val="1"/>
      </rPr>
      <t>μ</t>
    </r>
    <r>
      <rPr>
        <b/>
        <sz val="12"/>
        <color theme="1"/>
        <rFont val="宋体"/>
        <family val="3"/>
        <charset val="134"/>
      </rPr>
      <t>I(</t>
    </r>
    <r>
      <rPr>
        <b/>
        <sz val="12"/>
        <color rgb="FFFF0000"/>
        <rFont val="宋体"/>
        <family val="3"/>
        <charset val="134"/>
      </rPr>
      <t>I-poor</t>
    </r>
    <r>
      <rPr>
        <b/>
        <sz val="12"/>
        <color theme="1"/>
        <rFont val="宋体"/>
        <family val="3"/>
        <charset val="134"/>
      </rPr>
      <t>, I-rich)</t>
    </r>
  </si>
  <si>
    <t>I(Bulk)</t>
  </si>
  <si>
    <r>
      <rPr>
        <b/>
        <sz val="11"/>
        <color theme="1"/>
        <rFont val="宋体"/>
        <family val="3"/>
        <charset val="134"/>
      </rPr>
      <t>E(PbI</t>
    </r>
    <r>
      <rPr>
        <b/>
        <sz val="8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</si>
  <si>
    <t>E(MAI)</t>
  </si>
  <si>
    <r>
      <rPr>
        <b/>
        <sz val="11"/>
        <color theme="1"/>
        <rFont val="宋体"/>
        <family val="3"/>
        <charset val="134"/>
      </rPr>
      <t>E(MAPbI</t>
    </r>
    <r>
      <rPr>
        <b/>
        <sz val="8"/>
        <color theme="1"/>
        <rFont val="宋体"/>
        <family val="3"/>
        <charset val="134"/>
      </rPr>
      <t>3</t>
    </r>
    <r>
      <rPr>
        <b/>
        <sz val="11"/>
        <color theme="1"/>
        <rFont val="宋体"/>
        <family val="3"/>
        <charset val="134"/>
      </rPr>
      <t>)</t>
    </r>
  </si>
  <si>
    <r>
      <rPr>
        <b/>
        <sz val="10"/>
        <color theme="1"/>
        <rFont val="宋体"/>
        <family val="3"/>
        <charset val="134"/>
      </rPr>
      <t>Ethlapy(MAPbI</t>
    </r>
    <r>
      <rPr>
        <b/>
        <sz val="8"/>
        <color theme="1"/>
        <rFont val="宋体"/>
        <family val="3"/>
        <charset val="134"/>
      </rPr>
      <t>3</t>
    </r>
    <r>
      <rPr>
        <b/>
        <sz val="10"/>
        <color theme="1"/>
        <rFont val="宋体"/>
        <family val="3"/>
        <charset val="134"/>
      </rPr>
      <t>)</t>
    </r>
  </si>
  <si>
    <r>
      <rPr>
        <b/>
        <sz val="10"/>
        <color theme="1"/>
        <rFont val="宋体"/>
        <family val="3"/>
        <charset val="134"/>
      </rPr>
      <t>E(MAPbI</t>
    </r>
    <r>
      <rPr>
        <b/>
        <sz val="6"/>
        <color theme="1"/>
        <rFont val="宋体"/>
        <family val="3"/>
        <charset val="134"/>
      </rPr>
      <t>3</t>
    </r>
    <r>
      <rPr>
        <b/>
        <sz val="10"/>
        <color theme="1"/>
        <rFont val="宋体"/>
        <family val="3"/>
        <charset val="134"/>
      </rPr>
      <t>)-E(MAI)</t>
    </r>
  </si>
  <si>
    <t>The total energy of H2</t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</si>
  <si>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I-poor</t>
    </r>
  </si>
  <si>
    <t>SCS
I-poor</t>
  </si>
  <si>
    <t>PBE
I-poor</t>
  </si>
  <si>
    <t>TS
I-poor</t>
  </si>
  <si>
    <t>The total energy of C</t>
  </si>
  <si>
    <t>The total energy of N2</t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</si>
  <si>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I-rich</t>
    </r>
  </si>
  <si>
    <t>SCS
I-rich</t>
  </si>
  <si>
    <t>PBE
I-rich</t>
  </si>
  <si>
    <t>TS
I-rich</t>
  </si>
  <si>
    <t>MA(One Molecule)</t>
  </si>
  <si>
    <t>MAPbI3</t>
  </si>
  <si>
    <t>PbI2</t>
  </si>
  <si>
    <r>
      <rPr>
        <b/>
        <sz val="11"/>
        <color theme="1"/>
        <rFont val="宋体"/>
        <family val="3"/>
        <charset val="134"/>
      </rPr>
      <t>u</t>
    </r>
    <r>
      <rPr>
        <b/>
        <sz val="11"/>
        <color theme="1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I(I-poor)</t>
    </r>
  </si>
  <si>
    <r>
      <rPr>
        <b/>
        <sz val="11"/>
        <color theme="1"/>
        <rFont val="宋体"/>
        <family val="3"/>
        <charset val="134"/>
      </rPr>
      <t>u</t>
    </r>
    <r>
      <rPr>
        <b/>
        <sz val="11"/>
        <color theme="1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pb(Pb-poor)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</si>
  <si>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(Pb)p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</si>
  <si>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(I)p(PbI</t>
    </r>
    <r>
      <rPr>
        <sz val="10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</si>
  <si>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(MA)l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</si>
  <si>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(MA)r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</si>
  <si>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(I)r(PbI2)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</si>
  <si>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(Pb)r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</si>
  <si>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(I)p(MAI)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</si>
  <si>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(I)r(MAI)</t>
    </r>
  </si>
  <si>
    <t>Chemical elements</t>
  </si>
  <si>
    <t>Neutral 
Defect</t>
  </si>
  <si>
    <r>
      <rPr>
        <b/>
        <sz val="11"/>
        <color theme="1"/>
        <rFont val="宋体"/>
        <family val="3"/>
        <charset val="134"/>
      </rPr>
      <t>E</t>
    </r>
    <r>
      <rPr>
        <b/>
        <i/>
        <sz val="10"/>
        <color theme="1"/>
        <rFont val="宋体"/>
        <family val="3"/>
        <charset val="134"/>
      </rPr>
      <t>f,</t>
    </r>
    <r>
      <rPr>
        <b/>
        <sz val="10"/>
        <color theme="1"/>
        <rFont val="宋体"/>
        <family val="3"/>
        <charset val="134"/>
      </rPr>
      <t>(eV)
I-poor
(Pb-rich)</t>
    </r>
  </si>
  <si>
    <r>
      <rPr>
        <b/>
        <sz val="11"/>
        <color theme="1"/>
        <rFont val="宋体"/>
        <family val="3"/>
        <charset val="134"/>
      </rPr>
      <t>E</t>
    </r>
    <r>
      <rPr>
        <b/>
        <i/>
        <sz val="10"/>
        <color theme="1"/>
        <rFont val="宋体"/>
        <family val="3"/>
        <charset val="134"/>
      </rPr>
      <t>f,</t>
    </r>
    <r>
      <rPr>
        <b/>
        <sz val="10"/>
        <color theme="1"/>
        <rFont val="宋体"/>
        <family val="3"/>
        <charset val="134"/>
      </rPr>
      <t>(eV)
I-rich
(Pb-poor)</t>
    </r>
  </si>
  <si>
    <r>
      <rPr>
        <b/>
        <sz val="11"/>
        <color theme="1"/>
        <rFont val="宋体"/>
        <family val="3"/>
        <charset val="134"/>
      </rPr>
      <t>Δ</t>
    </r>
    <r>
      <rPr>
        <b/>
        <sz val="11"/>
        <color theme="1"/>
        <rFont val="宋体"/>
        <family val="3"/>
        <charset val="134"/>
      </rPr>
      <t>E</t>
    </r>
    <r>
      <rPr>
        <b/>
        <sz val="9"/>
        <color theme="1"/>
        <rFont val="宋体"/>
        <family val="3"/>
        <charset val="134"/>
      </rPr>
      <t>f(eV)
I-poor
(Pb-rich)</t>
    </r>
  </si>
  <si>
    <r>
      <rPr>
        <b/>
        <sz val="11"/>
        <color theme="1"/>
        <rFont val="宋体"/>
        <family val="3"/>
        <charset val="134"/>
      </rPr>
      <t>Δ</t>
    </r>
    <r>
      <rPr>
        <b/>
        <sz val="11"/>
        <color theme="1"/>
        <rFont val="宋体"/>
        <family val="3"/>
        <charset val="134"/>
      </rPr>
      <t>E</t>
    </r>
    <r>
      <rPr>
        <b/>
        <sz val="9"/>
        <color theme="1"/>
        <rFont val="宋体"/>
        <family val="3"/>
        <charset val="134"/>
      </rPr>
      <t>f(eV)
I-rich
(Pb-poor)</t>
    </r>
  </si>
  <si>
    <t>Vpb</t>
  </si>
  <si>
    <r>
      <rPr>
        <b/>
        <sz val="11"/>
        <color theme="1"/>
        <rFont val="宋体"/>
        <family val="3"/>
        <charset val="134"/>
      </rPr>
      <t>V</t>
    </r>
    <r>
      <rPr>
        <b/>
        <sz val="8"/>
        <color theme="1"/>
        <rFont val="宋体"/>
        <family val="3"/>
        <charset val="134"/>
      </rPr>
      <t>I</t>
    </r>
    <r>
      <rPr>
        <b/>
        <sz val="10"/>
        <color theme="1"/>
        <rFont val="宋体"/>
        <family val="3"/>
        <charset val="134"/>
      </rPr>
      <t>(MAI)</t>
    </r>
  </si>
  <si>
    <r>
      <rPr>
        <b/>
        <sz val="11"/>
        <color theme="1"/>
        <rFont val="宋体"/>
        <family val="3"/>
        <charset val="134"/>
      </rPr>
      <t>V</t>
    </r>
    <r>
      <rPr>
        <b/>
        <sz val="8"/>
        <color theme="1"/>
        <rFont val="宋体"/>
        <family val="3"/>
        <charset val="134"/>
      </rPr>
      <t>I</t>
    </r>
    <r>
      <rPr>
        <b/>
        <sz val="11"/>
        <color theme="1"/>
        <rFont val="宋体"/>
        <family val="3"/>
        <charset val="134"/>
      </rPr>
      <t>(PbI</t>
    </r>
    <r>
      <rPr>
        <b/>
        <sz val="9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</si>
  <si>
    <t>Vma</t>
  </si>
  <si>
    <r>
      <rPr>
        <b/>
        <sz val="11"/>
        <color theme="1"/>
        <rFont val="宋体"/>
        <family val="3"/>
        <charset val="134"/>
      </rPr>
      <t>MA</t>
    </r>
    <r>
      <rPr>
        <b/>
        <sz val="8"/>
        <color theme="1"/>
        <rFont val="宋体"/>
        <family val="3"/>
        <charset val="134"/>
      </rPr>
      <t>i</t>
    </r>
  </si>
  <si>
    <r>
      <rPr>
        <b/>
        <sz val="11"/>
        <color theme="1"/>
        <rFont val="宋体"/>
        <family val="3"/>
        <charset val="134"/>
      </rPr>
      <t>Pb</t>
    </r>
    <r>
      <rPr>
        <b/>
        <sz val="9"/>
        <color theme="1"/>
        <rFont val="宋体"/>
        <family val="3"/>
        <charset val="134"/>
      </rPr>
      <t>i</t>
    </r>
  </si>
  <si>
    <r>
      <rPr>
        <b/>
        <sz val="11"/>
        <color theme="1"/>
        <rFont val="宋体"/>
        <family val="3"/>
        <charset val="134"/>
      </rPr>
      <t>I</t>
    </r>
    <r>
      <rPr>
        <b/>
        <sz val="9"/>
        <color theme="1"/>
        <rFont val="宋体"/>
        <family val="3"/>
        <charset val="134"/>
      </rPr>
      <t>i</t>
    </r>
  </si>
  <si>
    <r>
      <rPr>
        <b/>
        <sz val="11"/>
        <color theme="1"/>
        <rFont val="宋体"/>
        <family val="3"/>
        <charset val="134"/>
      </rPr>
      <t>Pb</t>
    </r>
    <r>
      <rPr>
        <b/>
        <sz val="9"/>
        <color theme="1"/>
        <rFont val="宋体"/>
        <family val="3"/>
        <charset val="134"/>
      </rPr>
      <t>I</t>
    </r>
  </si>
  <si>
    <t>3.6(4.22)</t>
  </si>
  <si>
    <t>0.19(0.9)</t>
  </si>
  <si>
    <r>
      <rPr>
        <b/>
        <sz val="11"/>
        <color theme="1"/>
        <rFont val="宋体"/>
        <family val="3"/>
        <charset val="134"/>
      </rPr>
      <t>I</t>
    </r>
    <r>
      <rPr>
        <b/>
        <sz val="8"/>
        <color theme="1"/>
        <rFont val="宋体"/>
        <family val="3"/>
        <charset val="134"/>
      </rPr>
      <t>Pb</t>
    </r>
  </si>
  <si>
    <r>
      <rPr>
        <b/>
        <sz val="11"/>
        <color theme="1"/>
        <rFont val="宋体"/>
        <family val="3"/>
        <charset val="134"/>
      </rPr>
      <t>Pb</t>
    </r>
    <r>
      <rPr>
        <b/>
        <sz val="8"/>
        <color theme="1"/>
        <rFont val="宋体"/>
        <family val="3"/>
        <charset val="134"/>
      </rPr>
      <t>MA</t>
    </r>
  </si>
  <si>
    <t>Null</t>
  </si>
  <si>
    <r>
      <rPr>
        <b/>
        <sz val="11"/>
        <color theme="1"/>
        <rFont val="宋体"/>
        <family val="3"/>
        <charset val="134"/>
      </rPr>
      <t>MA</t>
    </r>
    <r>
      <rPr>
        <b/>
        <sz val="8"/>
        <color theme="1"/>
        <rFont val="宋体"/>
        <family val="3"/>
        <charset val="134"/>
      </rPr>
      <t>Pb</t>
    </r>
  </si>
  <si>
    <r>
      <rPr>
        <b/>
        <sz val="11"/>
        <color theme="1"/>
        <rFont val="宋体"/>
        <family val="3"/>
        <charset val="134"/>
      </rPr>
      <t>MA</t>
    </r>
    <r>
      <rPr>
        <b/>
        <sz val="9"/>
        <color theme="1"/>
        <rFont val="宋体"/>
        <family val="3"/>
        <charset val="134"/>
      </rPr>
      <t>I</t>
    </r>
  </si>
  <si>
    <t>System</t>
  </si>
  <si>
    <t>Etot(PBE)[Ry/formula]</t>
  </si>
  <si>
    <t>Etot(rev-vdw)[Ry/formula]</t>
  </si>
  <si>
    <t>Etot(PBE)
[eV/formula]</t>
  </si>
  <si>
    <t>Etot(rev-vdw)
[eV/formula}</t>
  </si>
  <si>
    <t>rev-vdw 
contribution</t>
  </si>
  <si>
    <t>QUANTUM-ESPRESSO</t>
  </si>
  <si>
    <r>
      <rPr>
        <sz val="11"/>
        <color theme="1"/>
        <rFont val="宋体"/>
        <family val="3"/>
        <charset val="134"/>
      </rPr>
      <t>MAPbI</t>
    </r>
    <r>
      <rPr>
        <sz val="9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(tetragonal phase)</t>
    </r>
  </si>
  <si>
    <r>
      <rPr>
        <sz val="11"/>
        <color theme="1"/>
        <rFont val="宋体"/>
        <family val="3"/>
        <charset val="134"/>
      </rPr>
      <t>PbI2(CdI</t>
    </r>
    <r>
      <rPr>
        <sz val="9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 structure,2Htype)</t>
    </r>
  </si>
  <si>
    <t>MAI(solid phase)</t>
  </si>
  <si>
    <t>Pb(metal.fcc lattice)</t>
  </si>
  <si>
    <t>I2(molecule)</t>
  </si>
  <si>
    <t>C(graphite,AB stack)</t>
  </si>
  <si>
    <t>N2(molecule)</t>
  </si>
  <si>
    <t>H2(molecule)</t>
  </si>
  <si>
    <r>
      <rPr>
        <sz val="11"/>
        <color theme="1"/>
        <rFont val="宋体"/>
        <family val="3"/>
        <charset val="134"/>
      </rPr>
      <t>Δ</t>
    </r>
    <r>
      <rPr>
        <sz val="11"/>
        <color theme="1"/>
        <rFont val="宋体"/>
        <family val="3"/>
        <charset val="134"/>
      </rPr>
      <t>Hform(PBE)[eV]</t>
    </r>
  </si>
  <si>
    <r>
      <rPr>
        <sz val="11"/>
        <color theme="1"/>
        <rFont val="宋体"/>
        <family val="3"/>
        <charset val="134"/>
      </rPr>
      <t>Δ</t>
    </r>
    <r>
      <rPr>
        <sz val="11"/>
        <color theme="1"/>
        <rFont val="宋体"/>
        <family val="3"/>
        <charset val="134"/>
      </rPr>
      <t>Hform(vdw-DF)[eV]</t>
    </r>
  </si>
  <si>
    <r>
      <t>E(Ima_</t>
    </r>
    <r>
      <rPr>
        <b/>
        <sz val="11"/>
        <color theme="1"/>
        <rFont val="宋体"/>
        <family val="3"/>
        <charset val="134"/>
      </rPr>
      <t>1</t>
    </r>
    <r>
      <rPr>
        <b/>
        <sz val="11"/>
        <color theme="1"/>
        <rFont val="宋体"/>
        <family val="3"/>
        <charset val="134"/>
      </rPr>
      <t>)</t>
    </r>
    <phoneticPr fontId="29" type="noConversion"/>
  </si>
  <si>
    <r>
      <t>E(Ima_2</t>
    </r>
    <r>
      <rPr>
        <b/>
        <sz val="11"/>
        <color theme="1"/>
        <rFont val="宋体"/>
        <family val="3"/>
        <charset val="134"/>
      </rPr>
      <t>)</t>
    </r>
    <phoneticPr fontId="29" type="noConversion"/>
  </si>
  <si>
    <r>
      <rPr>
        <b/>
        <sz val="11"/>
        <color theme="1"/>
        <rFont val="宋体"/>
        <family val="3"/>
        <charset val="134"/>
      </rPr>
      <t>E(MAPbI</t>
    </r>
    <r>
      <rPr>
        <b/>
        <sz val="8"/>
        <color theme="1"/>
        <rFont val="宋体"/>
        <family val="3"/>
        <charset val="134"/>
      </rPr>
      <t>3</t>
    </r>
    <r>
      <rPr>
        <b/>
        <sz val="11"/>
        <color theme="1"/>
        <rFont val="宋体"/>
        <family val="3"/>
        <charset val="134"/>
      </rPr>
      <t>)perfect</t>
    </r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</si>
  <si>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Pb-poor</t>
    </r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</si>
  <si>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Pb-rich</t>
    </r>
  </si>
  <si>
    <r>
      <t>μ</t>
    </r>
    <r>
      <rPr>
        <b/>
        <sz val="12"/>
        <color theme="1"/>
        <rFont val="宋体"/>
        <family val="3"/>
        <charset val="134"/>
      </rPr>
      <t>pb(</t>
    </r>
    <r>
      <rPr>
        <b/>
        <sz val="12"/>
        <color rgb="FFFF0000"/>
        <rFont val="宋体"/>
        <family val="3"/>
        <charset val="134"/>
      </rPr>
      <t>Pb-poor</t>
    </r>
    <r>
      <rPr>
        <b/>
        <sz val="12"/>
        <color theme="1"/>
        <rFont val="宋体"/>
        <family val="3"/>
        <charset val="134"/>
      </rPr>
      <t>, Pb-rich)</t>
    </r>
  </si>
  <si>
    <t>E(PbIp1)</t>
    <phoneticPr fontId="29" type="noConversion"/>
  </si>
  <si>
    <r>
      <t>μ</t>
    </r>
    <r>
      <rPr>
        <b/>
        <sz val="12"/>
        <color theme="1"/>
        <rFont val="宋体"/>
        <family val="3"/>
        <charset val="134"/>
      </rPr>
      <t>I(</t>
    </r>
    <r>
      <rPr>
        <b/>
        <sz val="12"/>
        <color rgb="FFFF0000"/>
        <rFont val="宋体"/>
        <family val="3"/>
        <charset val="134"/>
      </rPr>
      <t>I-poor</t>
    </r>
    <r>
      <rPr>
        <b/>
        <sz val="12"/>
        <color theme="1"/>
        <rFont val="宋体"/>
        <family val="3"/>
        <charset val="134"/>
      </rPr>
      <t>, I-rich)</t>
    </r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</si>
  <si>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I-poor</t>
    </r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</si>
  <si>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I-rich</t>
    </r>
  </si>
  <si>
    <t>E(Ipb_2)</t>
    <phoneticPr fontId="29" type="noConversion"/>
  </si>
  <si>
    <t>E(Pbma_1)</t>
    <phoneticPr fontId="29" type="noConversion"/>
  </si>
  <si>
    <t>E(Pbmap1)</t>
    <phoneticPr fontId="29" type="noConversion"/>
  </si>
  <si>
    <t>E(MaIp1)</t>
    <phoneticPr fontId="29" type="noConversion"/>
  </si>
  <si>
    <r>
      <rPr>
        <b/>
        <sz val="11"/>
        <color rgb="FFFF0000"/>
        <rFont val="宋体"/>
        <family val="3"/>
        <charset val="134"/>
      </rPr>
      <t>μ</t>
    </r>
    <r>
      <rPr>
        <b/>
        <sz val="12"/>
        <color rgb="FFFF0000"/>
        <rFont val="宋体"/>
        <family val="3"/>
        <charset val="134"/>
      </rPr>
      <t>MA(Pb-poor, I-poor)</t>
    </r>
  </si>
  <si>
    <r>
      <t>E(MA</t>
    </r>
    <r>
      <rPr>
        <b/>
        <sz val="10"/>
        <color rgb="FFFF0000"/>
        <rFont val="宋体"/>
        <family val="3"/>
        <charset val="134"/>
      </rPr>
      <t>Pb_1</t>
    </r>
    <r>
      <rPr>
        <b/>
        <sz val="11"/>
        <color rgb="FFFF0000"/>
        <rFont val="宋体"/>
        <family val="3"/>
        <charset val="134"/>
      </rPr>
      <t>)</t>
    </r>
    <phoneticPr fontId="29" type="noConversion"/>
  </si>
  <si>
    <r>
      <rPr>
        <b/>
        <sz val="11"/>
        <color rgb="FFFF0000"/>
        <rFont val="宋体"/>
        <family val="3"/>
        <charset val="134"/>
      </rPr>
      <t>E(MAPbI</t>
    </r>
    <r>
      <rPr>
        <b/>
        <sz val="8"/>
        <color rgb="FFFF0000"/>
        <rFont val="宋体"/>
        <family val="3"/>
        <charset val="134"/>
      </rPr>
      <t>3</t>
    </r>
    <r>
      <rPr>
        <b/>
        <sz val="11"/>
        <color rgb="FFFF0000"/>
        <rFont val="宋体"/>
        <family val="3"/>
        <charset val="134"/>
      </rPr>
      <t>)perfect</t>
    </r>
  </si>
  <si>
    <t>E(MaIp2)</t>
    <phoneticPr fontId="29" type="noConversion"/>
  </si>
  <si>
    <r>
      <rPr>
        <b/>
        <sz val="11"/>
        <color theme="1"/>
        <rFont val="宋体"/>
        <family val="3"/>
        <charset val="134"/>
      </rPr>
      <t>μ</t>
    </r>
    <r>
      <rPr>
        <b/>
        <sz val="12"/>
        <color theme="1"/>
        <rFont val="宋体"/>
        <family val="3"/>
        <charset val="134"/>
      </rPr>
      <t>MA(</t>
    </r>
    <r>
      <rPr>
        <b/>
        <sz val="12"/>
        <color rgb="FFFF0000"/>
        <rFont val="宋体"/>
        <family val="3"/>
        <charset val="134"/>
      </rPr>
      <t>Pb-poor</t>
    </r>
    <r>
      <rPr>
        <b/>
        <sz val="12"/>
        <color theme="1"/>
        <rFont val="宋体"/>
        <family val="3"/>
        <charset val="134"/>
      </rPr>
      <t>, I-poor)</t>
    </r>
  </si>
  <si>
    <t>E(Ipb_1)</t>
    <phoneticPr fontId="29" type="noConversion"/>
  </si>
  <si>
    <r>
      <t>E(MA</t>
    </r>
    <r>
      <rPr>
        <b/>
        <sz val="10"/>
        <color rgb="FFFF0000"/>
        <rFont val="宋体"/>
        <family val="3"/>
        <charset val="134"/>
      </rPr>
      <t>Pb_2</t>
    </r>
    <r>
      <rPr>
        <b/>
        <sz val="11"/>
        <color rgb="FFFF0000"/>
        <rFont val="宋体"/>
        <family val="3"/>
        <charset val="134"/>
      </rPr>
      <t>)</t>
    </r>
    <phoneticPr fontId="29" type="noConversion"/>
  </si>
  <si>
    <r>
      <t>E(Ipb_</t>
    </r>
    <r>
      <rPr>
        <b/>
        <sz val="11"/>
        <color theme="1"/>
        <rFont val="宋体"/>
        <family val="3"/>
        <charset val="134"/>
      </rPr>
      <t>3</t>
    </r>
    <r>
      <rPr>
        <b/>
        <sz val="11"/>
        <color theme="1"/>
        <rFont val="宋体"/>
        <family val="3"/>
        <charset val="134"/>
      </rPr>
      <t>)</t>
    </r>
    <phoneticPr fontId="29" type="noConversion"/>
  </si>
  <si>
    <r>
      <t>E(PbIp</t>
    </r>
    <r>
      <rPr>
        <b/>
        <sz val="11"/>
        <color theme="1"/>
        <rFont val="宋体"/>
        <family val="3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)</t>
    </r>
    <phoneticPr fontId="29" type="noConversion"/>
  </si>
  <si>
    <t>Molecule</t>
  </si>
  <si>
    <t>MBD</t>
  </si>
  <si>
    <t>PBE+MBD</t>
  </si>
  <si>
    <t>MBD</t>
    <phoneticPr fontId="29" type="noConversion"/>
  </si>
  <si>
    <t>MBD
Pb-poor</t>
    <phoneticPr fontId="29" type="noConversion"/>
  </si>
  <si>
    <t>MBD
Pb-rich</t>
    <phoneticPr fontId="29" type="noConversion"/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</si>
  <si>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(MBD+PBE)
Pb-poor</t>
    </r>
    <phoneticPr fontId="29" type="noConversion"/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</si>
  <si>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(MBD+PBE)
Pb-rich</t>
    </r>
    <phoneticPr fontId="29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</si>
  <si>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phoneticPr fontId="29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</si>
  <si>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r>
      <rPr>
        <sz val="11"/>
        <color theme="1"/>
        <rFont val="宋体"/>
        <family val="3"/>
        <charset val="134"/>
        <scheme val="minor"/>
      </rPr>
      <t xml:space="preserve">
I-poor</t>
    </r>
    <phoneticPr fontId="29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</si>
  <si>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r>
      <rPr>
        <sz val="11"/>
        <color theme="1"/>
        <rFont val="宋体"/>
        <family val="3"/>
        <charset val="134"/>
        <scheme val="minor"/>
      </rPr>
      <t xml:space="preserve">
I-rich</t>
    </r>
    <phoneticPr fontId="29" type="noConversion"/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</si>
  <si>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(MBD+PBE)
I-poor</t>
    </r>
    <phoneticPr fontId="29" type="noConversion"/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</si>
  <si>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(MBD+PBE)
I-rich</t>
    </r>
    <phoneticPr fontId="29" type="noConversion"/>
  </si>
  <si>
    <t>MBD</t>
    <phoneticPr fontId="29" type="noConversion"/>
  </si>
  <si>
    <t>MBD
I-poor</t>
    <phoneticPr fontId="29" type="noConversion"/>
  </si>
  <si>
    <t>μI(I-poor, I-rich)</t>
  </si>
  <si>
    <t>Ef(SCS+PBE)
I-poor</t>
  </si>
  <si>
    <t>Ef(SCS+PBE)
I-rich</t>
  </si>
  <si>
    <t>μMA(Pb-poor, I-poor)</t>
  </si>
  <si>
    <t>Ef(MBD+PBE)
Pb-poor</t>
  </si>
  <si>
    <t>Ef(MBD+PBE)
I-poor</t>
  </si>
  <si>
    <t>Ef(SCS+PBE)
Pb-poor</t>
  </si>
  <si>
    <t>μpb(Pb-poor, Pb-rich)</t>
  </si>
  <si>
    <t>Ef(SCS+PBE)
Pb-rich</t>
  </si>
  <si>
    <t>Formation Energy(PBESCS,PBE,TS,YS)</t>
    <phoneticPr fontId="29" type="noConversion"/>
  </si>
  <si>
    <t>Formation Energy(PBESCS,PBE,TS,TS)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</si>
</sst>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8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6"/>
      <color theme="1"/>
      <name val="宋体"/>
      <family val="3"/>
      <charset val="134"/>
    </font>
    <font>
      <b/>
      <i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8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12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7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/>
    </xf>
    <xf numFmtId="0" fontId="0" fillId="9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7" borderId="1" xfId="0" applyFont="1" applyFill="1" applyBorder="1">
      <alignment vertical="center"/>
    </xf>
    <xf numFmtId="0" fontId="15" fillId="3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0" fillId="6" borderId="21" xfId="0" applyFill="1" applyBorder="1">
      <alignment vertical="center"/>
    </xf>
    <xf numFmtId="0" fontId="0" fillId="6" borderId="9" xfId="0" applyFill="1" applyBorder="1">
      <alignment vertical="center"/>
    </xf>
    <xf numFmtId="0" fontId="7" fillId="8" borderId="9" xfId="0" applyFont="1" applyFill="1" applyBorder="1" applyAlignment="1">
      <alignment vertical="center"/>
    </xf>
    <xf numFmtId="0" fontId="18" fillId="5" borderId="9" xfId="0" applyFont="1" applyFill="1" applyBorder="1" applyAlignment="1">
      <alignment horizontal="center" vertical="center"/>
    </xf>
    <xf numFmtId="0" fontId="11" fillId="0" borderId="9" xfId="0" applyFont="1" applyBorder="1">
      <alignment vertical="center"/>
    </xf>
    <xf numFmtId="0" fontId="0" fillId="5" borderId="1" xfId="0" applyFill="1" applyBorder="1">
      <alignment vertical="center"/>
    </xf>
    <xf numFmtId="0" fontId="0" fillId="0" borderId="9" xfId="0" applyBorder="1">
      <alignment vertical="center"/>
    </xf>
    <xf numFmtId="0" fontId="16" fillId="5" borderId="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32" fillId="0" borderId="0" xfId="0" applyFont="1" applyBorder="1">
      <alignment vertical="center"/>
    </xf>
    <xf numFmtId="0" fontId="0" fillId="0" borderId="49" xfId="0" applyFill="1" applyBorder="1">
      <alignment vertical="center"/>
    </xf>
    <xf numFmtId="0" fontId="0" fillId="2" borderId="0" xfId="0" applyFill="1">
      <alignment vertical="center"/>
    </xf>
    <xf numFmtId="0" fontId="11" fillId="12" borderId="1" xfId="0" applyFont="1" applyFill="1" applyBorder="1" applyAlignment="1">
      <alignment vertical="center"/>
    </xf>
    <xf numFmtId="0" fontId="11" fillId="12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0" fillId="12" borderId="9" xfId="0" applyFill="1" applyBorder="1">
      <alignment vertical="center"/>
    </xf>
    <xf numFmtId="0" fontId="4" fillId="12" borderId="6" xfId="0" applyFont="1" applyFill="1" applyBorder="1" applyAlignment="1">
      <alignment horizontal="center" vertical="center"/>
    </xf>
    <xf numFmtId="0" fontId="32" fillId="12" borderId="6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31" fillId="12" borderId="6" xfId="0" applyFont="1" applyFill="1" applyBorder="1" applyAlignment="1">
      <alignment horizontal="center" vertical="center"/>
    </xf>
    <xf numFmtId="0" fontId="35" fillId="10" borderId="30" xfId="0" applyFont="1" applyFill="1" applyBorder="1" applyAlignment="1">
      <alignment horizontal="center" vertical="center" wrapText="1"/>
    </xf>
    <xf numFmtId="0" fontId="35" fillId="10" borderId="31" xfId="0" applyFont="1" applyFill="1" applyBorder="1" applyAlignment="1">
      <alignment horizontal="center" vertical="center" wrapText="1"/>
    </xf>
    <xf numFmtId="0" fontId="35" fillId="10" borderId="39" xfId="0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 vertical="center" wrapText="1"/>
    </xf>
    <xf numFmtId="0" fontId="0" fillId="12" borderId="41" xfId="0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35" fillId="10" borderId="40" xfId="0" applyFont="1" applyFill="1" applyBorder="1" applyAlignment="1">
      <alignment horizontal="center" vertical="center" wrapText="1"/>
    </xf>
    <xf numFmtId="0" fontId="35" fillId="10" borderId="41" xfId="0" applyFont="1" applyFill="1" applyBorder="1" applyAlignment="1">
      <alignment horizontal="center" vertical="center" wrapText="1"/>
    </xf>
    <xf numFmtId="0" fontId="35" fillId="10" borderId="42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35" fillId="4" borderId="39" xfId="0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32" fillId="12" borderId="40" xfId="0" applyFont="1" applyFill="1" applyBorder="1" applyAlignment="1">
      <alignment horizontal="center" vertical="center"/>
    </xf>
    <xf numFmtId="0" fontId="32" fillId="12" borderId="41" xfId="0" applyFont="1" applyFill="1" applyBorder="1" applyAlignment="1">
      <alignment horizontal="center" vertical="center"/>
    </xf>
    <xf numFmtId="0" fontId="32" fillId="12" borderId="42" xfId="0" applyFont="1" applyFill="1" applyBorder="1" applyAlignment="1">
      <alignment horizontal="center" vertical="center"/>
    </xf>
    <xf numFmtId="0" fontId="32" fillId="12" borderId="40" xfId="0" applyFont="1" applyFill="1" applyBorder="1" applyAlignment="1">
      <alignment horizontal="center" vertical="center" wrapText="1"/>
    </xf>
    <xf numFmtId="0" fontId="32" fillId="12" borderId="41" xfId="0" applyFont="1" applyFill="1" applyBorder="1" applyAlignment="1">
      <alignment horizontal="center" vertical="center" wrapText="1"/>
    </xf>
    <xf numFmtId="0" fontId="32" fillId="12" borderId="42" xfId="0" applyFont="1" applyFill="1" applyBorder="1" applyAlignment="1">
      <alignment horizontal="center" vertical="center" wrapText="1"/>
    </xf>
    <xf numFmtId="0" fontId="32" fillId="3" borderId="40" xfId="0" applyFont="1" applyFill="1" applyBorder="1" applyAlignment="1">
      <alignment horizontal="center" vertical="center" wrapText="1"/>
    </xf>
    <xf numFmtId="0" fontId="32" fillId="3" borderId="41" xfId="0" applyFont="1" applyFill="1" applyBorder="1" applyAlignment="1">
      <alignment horizontal="center" vertical="center" wrapText="1"/>
    </xf>
    <xf numFmtId="0" fontId="32" fillId="3" borderId="42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32" fillId="3" borderId="8" xfId="0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32" fillId="3" borderId="14" xfId="0" applyFont="1" applyFill="1" applyBorder="1" applyAlignment="1">
      <alignment horizontal="center" vertical="center"/>
    </xf>
    <xf numFmtId="0" fontId="32" fillId="3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0" fontId="32" fillId="3" borderId="16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0" fontId="33" fillId="4" borderId="7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32" fillId="12" borderId="9" xfId="0" applyFont="1" applyFill="1" applyBorder="1" applyAlignment="1">
      <alignment horizontal="center" vertical="center"/>
    </xf>
    <xf numFmtId="0" fontId="32" fillId="12" borderId="12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31" fillId="12" borderId="9" xfId="0" applyFont="1" applyFill="1" applyBorder="1" applyAlignment="1">
      <alignment horizontal="center" vertical="center"/>
    </xf>
    <xf numFmtId="0" fontId="31" fillId="12" borderId="12" xfId="0" applyFont="1" applyFill="1" applyBorder="1" applyAlignment="1">
      <alignment horizontal="center" vertical="center"/>
    </xf>
    <xf numFmtId="0" fontId="36" fillId="4" borderId="19" xfId="0" applyFont="1" applyFill="1" applyBorder="1" applyAlignment="1">
      <alignment horizontal="center" vertical="center"/>
    </xf>
    <xf numFmtId="0" fontId="36" fillId="4" borderId="20" xfId="0" applyFont="1" applyFill="1" applyBorder="1" applyAlignment="1">
      <alignment horizontal="center" vertical="center"/>
    </xf>
    <xf numFmtId="0" fontId="36" fillId="4" borderId="21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9" xfId="0" applyFont="1" applyFill="1" applyBorder="1" applyAlignment="1">
      <alignment horizontal="center" vertical="center"/>
    </xf>
    <xf numFmtId="0" fontId="36" fillId="4" borderId="10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32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31" fillId="12" borderId="26" xfId="0" applyFont="1" applyFill="1" applyBorder="1" applyAlignment="1">
      <alignment horizontal="center" vertical="center"/>
    </xf>
    <xf numFmtId="0" fontId="31" fillId="12" borderId="36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0" fontId="32" fillId="3" borderId="20" xfId="0" applyFont="1" applyFill="1" applyBorder="1" applyAlignment="1">
      <alignment horizontal="center" vertical="center" wrapText="1"/>
    </xf>
    <xf numFmtId="0" fontId="32" fillId="12" borderId="8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10" xfId="0" applyFont="1" applyFill="1" applyBorder="1" applyAlignment="1">
      <alignment horizontal="center" vertical="center"/>
    </xf>
    <xf numFmtId="0" fontId="32" fillId="12" borderId="43" xfId="0" applyFont="1" applyFill="1" applyBorder="1" applyAlignment="1">
      <alignment horizontal="center" vertical="center"/>
    </xf>
    <xf numFmtId="0" fontId="32" fillId="12" borderId="19" xfId="0" applyFont="1" applyFill="1" applyBorder="1" applyAlignment="1">
      <alignment horizontal="center" vertical="center"/>
    </xf>
    <xf numFmtId="0" fontId="32" fillId="12" borderId="14" xfId="0" applyFont="1" applyFill="1" applyBorder="1" applyAlignment="1">
      <alignment horizontal="center" vertical="center"/>
    </xf>
    <xf numFmtId="0" fontId="32" fillId="12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/>
    </xf>
    <xf numFmtId="0" fontId="32" fillId="12" borderId="17" xfId="0" applyFont="1" applyFill="1" applyBorder="1" applyAlignment="1">
      <alignment horizontal="center" vertical="center"/>
    </xf>
    <xf numFmtId="0" fontId="32" fillId="12" borderId="11" xfId="0" applyFont="1" applyFill="1" applyBorder="1" applyAlignment="1">
      <alignment horizontal="center" vertical="center"/>
    </xf>
    <xf numFmtId="0" fontId="32" fillId="12" borderId="44" xfId="0" applyFont="1" applyFill="1" applyBorder="1" applyAlignment="1">
      <alignment horizontal="center" vertical="center"/>
    </xf>
    <xf numFmtId="0" fontId="32" fillId="12" borderId="20" xfId="0" applyFont="1" applyFill="1" applyBorder="1" applyAlignment="1">
      <alignment horizontal="center" vertical="center"/>
    </xf>
    <xf numFmtId="0" fontId="32" fillId="3" borderId="20" xfId="0" applyFont="1" applyFill="1" applyBorder="1" applyAlignment="1">
      <alignment horizontal="center" vertical="center"/>
    </xf>
    <xf numFmtId="0" fontId="32" fillId="3" borderId="21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9" xfId="0" applyFont="1" applyFill="1" applyBorder="1" applyAlignment="1">
      <alignment horizontal="center" vertical="center"/>
    </xf>
    <xf numFmtId="0" fontId="34" fillId="4" borderId="10" xfId="0" applyFont="1" applyFill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/>
    </xf>
    <xf numFmtId="0" fontId="32" fillId="12" borderId="21" xfId="0" applyFont="1" applyFill="1" applyBorder="1" applyAlignment="1">
      <alignment horizontal="center" vertical="center"/>
    </xf>
    <xf numFmtId="0" fontId="36" fillId="4" borderId="22" xfId="0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/>
    </xf>
    <xf numFmtId="0" fontId="32" fillId="12" borderId="26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2" fillId="12" borderId="2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32" fillId="3" borderId="21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17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7" fillId="4" borderId="1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12" borderId="25" xfId="0" applyFont="1" applyFill="1" applyBorder="1" applyAlignment="1">
      <alignment horizontal="center" vertical="center"/>
    </xf>
    <xf numFmtId="0" fontId="0" fillId="12" borderId="26" xfId="0" applyFont="1" applyFill="1" applyBorder="1" applyAlignment="1">
      <alignment horizontal="center" vertical="center"/>
    </xf>
    <xf numFmtId="0" fontId="11" fillId="12" borderId="25" xfId="0" applyFont="1" applyFill="1" applyBorder="1" applyAlignment="1">
      <alignment horizontal="center" vertical="center"/>
    </xf>
    <xf numFmtId="0" fontId="11" fillId="12" borderId="26" xfId="0" applyFont="1" applyFill="1" applyBorder="1" applyAlignment="1">
      <alignment horizontal="center" vertical="center"/>
    </xf>
    <xf numFmtId="0" fontId="32" fillId="12" borderId="25" xfId="0" applyFont="1" applyFill="1" applyBorder="1" applyAlignment="1">
      <alignment horizontal="center" vertical="center"/>
    </xf>
    <xf numFmtId="0" fontId="36" fillId="4" borderId="28" xfId="0" applyFont="1" applyFill="1" applyBorder="1" applyAlignment="1">
      <alignment horizontal="center" vertical="center"/>
    </xf>
    <xf numFmtId="0" fontId="36" fillId="4" borderId="25" xfId="0" applyFont="1" applyFill="1" applyBorder="1" applyAlignment="1">
      <alignment horizontal="center" vertical="center"/>
    </xf>
    <xf numFmtId="0" fontId="36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32" fillId="3" borderId="24" xfId="0" applyFont="1" applyFill="1" applyBorder="1" applyAlignment="1">
      <alignment horizontal="center" vertical="center"/>
    </xf>
    <xf numFmtId="0" fontId="32" fillId="3" borderId="2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4" fillId="4" borderId="24" xfId="0" applyFont="1" applyFill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2" fillId="12" borderId="27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12" borderId="3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30" fillId="4" borderId="4" xfId="0" applyFont="1" applyFill="1" applyBorder="1" applyAlignment="1">
      <alignment horizontal="center" vertical="center"/>
    </xf>
    <xf numFmtId="0" fontId="11" fillId="12" borderId="45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0" fontId="32" fillId="0" borderId="4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12" borderId="26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0" fontId="32" fillId="12" borderId="36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32" fillId="12" borderId="48" xfId="0" applyFont="1" applyFill="1" applyBorder="1" applyAlignment="1">
      <alignment horizontal="center" vertical="center"/>
    </xf>
    <xf numFmtId="0" fontId="32" fillId="12" borderId="47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11" fillId="12" borderId="43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11" fillId="12" borderId="44" xfId="0" applyFont="1" applyFill="1" applyBorder="1" applyAlignment="1">
      <alignment horizontal="center" vertical="center"/>
    </xf>
    <xf numFmtId="0" fontId="11" fillId="12" borderId="37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9</xdr:row>
      <xdr:rowOff>9525</xdr:rowOff>
    </xdr:from>
    <xdr:to>
      <xdr:col>19</xdr:col>
      <xdr:colOff>920750</xdr:colOff>
      <xdr:row>14</xdr:row>
      <xdr:rowOff>157453</xdr:rowOff>
    </xdr:to>
    <xdr:pic>
      <xdr:nvPicPr>
        <xdr:cNvPr id="3" name="图片 2" descr="QQ图片2016072710355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50025" y="1857375"/>
          <a:ext cx="911225" cy="1022985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0</xdr:row>
      <xdr:rowOff>9525</xdr:rowOff>
    </xdr:from>
    <xdr:to>
      <xdr:col>26</xdr:col>
      <xdr:colOff>142239</xdr:colOff>
      <xdr:row>26</xdr:row>
      <xdr:rowOff>148314</xdr:rowOff>
    </xdr:to>
    <xdr:pic>
      <xdr:nvPicPr>
        <xdr:cNvPr id="4" name="图片 3" descr="QQ图片2016081610191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50025" y="9525"/>
          <a:ext cx="7038340" cy="499364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33</xdr:row>
      <xdr:rowOff>9525</xdr:rowOff>
    </xdr:from>
    <xdr:to>
      <xdr:col>21</xdr:col>
      <xdr:colOff>172719</xdr:colOff>
      <xdr:row>42</xdr:row>
      <xdr:rowOff>33572</xdr:rowOff>
    </xdr:to>
    <xdr:pic>
      <xdr:nvPicPr>
        <xdr:cNvPr id="5" name="图片 4" descr="QQ图片2016081613234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50025" y="6276975"/>
          <a:ext cx="2258695" cy="1696720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33</xdr:row>
      <xdr:rowOff>9525</xdr:rowOff>
    </xdr:from>
    <xdr:to>
      <xdr:col>23</xdr:col>
      <xdr:colOff>345440</xdr:colOff>
      <xdr:row>42</xdr:row>
      <xdr:rowOff>59607</xdr:rowOff>
    </xdr:to>
    <xdr:pic>
      <xdr:nvPicPr>
        <xdr:cNvPr id="6" name="图片 5" descr="QQ图片201608161325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307550" y="6276975"/>
          <a:ext cx="1297940" cy="1722755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44</xdr:row>
      <xdr:rowOff>9525</xdr:rowOff>
    </xdr:from>
    <xdr:to>
      <xdr:col>21</xdr:col>
      <xdr:colOff>123824</xdr:colOff>
      <xdr:row>58</xdr:row>
      <xdr:rowOff>8751</xdr:rowOff>
    </xdr:to>
    <xdr:pic>
      <xdr:nvPicPr>
        <xdr:cNvPr id="7" name="图片 6" descr="QQ图片2016081613482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250025" y="8305800"/>
          <a:ext cx="2209800" cy="2526665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44</xdr:row>
      <xdr:rowOff>9525</xdr:rowOff>
    </xdr:from>
    <xdr:to>
      <xdr:col>26</xdr:col>
      <xdr:colOff>561974</xdr:colOff>
      <xdr:row>49</xdr:row>
      <xdr:rowOff>136469</xdr:rowOff>
    </xdr:to>
    <xdr:pic>
      <xdr:nvPicPr>
        <xdr:cNvPr id="8" name="图片 7" descr="QQ图片2016081613492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07550" y="8305800"/>
          <a:ext cx="4400550" cy="105791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59</xdr:row>
      <xdr:rowOff>9525</xdr:rowOff>
    </xdr:from>
    <xdr:to>
      <xdr:col>21</xdr:col>
      <xdr:colOff>100964</xdr:colOff>
      <xdr:row>69</xdr:row>
      <xdr:rowOff>134509</xdr:rowOff>
    </xdr:to>
    <xdr:pic>
      <xdr:nvPicPr>
        <xdr:cNvPr id="9" name="图片 8" descr="QQ图片2016081613565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250025" y="10963275"/>
          <a:ext cx="2186940" cy="2167890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59</xdr:row>
      <xdr:rowOff>9525</xdr:rowOff>
    </xdr:from>
    <xdr:to>
      <xdr:col>26</xdr:col>
      <xdr:colOff>466724</xdr:colOff>
      <xdr:row>70</xdr:row>
      <xdr:rowOff>22086</xdr:rowOff>
    </xdr:to>
    <xdr:pic>
      <xdr:nvPicPr>
        <xdr:cNvPr id="10" name="图片 9" descr="QQ图片2016081613583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307550" y="10963275"/>
          <a:ext cx="4305300" cy="2244725"/>
        </a:xfrm>
        <a:prstGeom prst="rect">
          <a:avLst/>
        </a:prstGeom>
      </xdr:spPr>
    </xdr:pic>
    <xdr:clientData/>
  </xdr:twoCellAnchor>
  <xdr:twoCellAnchor editAs="oneCell">
    <xdr:from>
      <xdr:col>21</xdr:col>
      <xdr:colOff>337820</xdr:colOff>
      <xdr:row>71</xdr:row>
      <xdr:rowOff>89535</xdr:rowOff>
    </xdr:from>
    <xdr:to>
      <xdr:col>25</xdr:col>
      <xdr:colOff>367031</xdr:colOff>
      <xdr:row>84</xdr:row>
      <xdr:rowOff>16372</xdr:rowOff>
    </xdr:to>
    <xdr:pic>
      <xdr:nvPicPr>
        <xdr:cNvPr id="11" name="图片 10" descr="QQ图片2016081614073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673820" y="13405485"/>
          <a:ext cx="3877310" cy="2244725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71</xdr:row>
      <xdr:rowOff>9525</xdr:rowOff>
    </xdr:from>
    <xdr:to>
      <xdr:col>30</xdr:col>
      <xdr:colOff>503556</xdr:colOff>
      <xdr:row>82</xdr:row>
      <xdr:rowOff>72915</xdr:rowOff>
    </xdr:to>
    <xdr:pic>
      <xdr:nvPicPr>
        <xdr:cNvPr id="12" name="图片 11" descr="QQ图片2016081614052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231600" y="13325475"/>
          <a:ext cx="5161280" cy="2020570"/>
        </a:xfrm>
        <a:prstGeom prst="rect">
          <a:avLst/>
        </a:prstGeom>
      </xdr:spPr>
    </xdr:pic>
    <xdr:clientData/>
  </xdr:twoCellAnchor>
  <xdr:twoCellAnchor>
    <xdr:from>
      <xdr:col>16</xdr:col>
      <xdr:colOff>265430</xdr:colOff>
      <xdr:row>70</xdr:row>
      <xdr:rowOff>125730</xdr:rowOff>
    </xdr:from>
    <xdr:to>
      <xdr:col>16</xdr:col>
      <xdr:colOff>587375</xdr:colOff>
      <xdr:row>72</xdr:row>
      <xdr:rowOff>67310</xdr:rowOff>
    </xdr:to>
    <xdr:sp macro="" textlink="">
      <xdr:nvSpPr>
        <xdr:cNvPr id="2" name="等腰三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267430" y="13270230"/>
          <a:ext cx="321945" cy="29400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3"/>
  <sheetViews>
    <sheetView tabSelected="1" topLeftCell="G160" zoomScaleNormal="100" workbookViewId="0">
      <selection activeCell="M175" sqref="M175:M177"/>
    </sheetView>
  </sheetViews>
  <sheetFormatPr defaultColWidth="9" defaultRowHeight="13.5" x14ac:dyDescent="0.15"/>
  <cols>
    <col min="1" max="3" width="13.75"/>
    <col min="4" max="4" width="11.5"/>
    <col min="5" max="5" width="13.75"/>
    <col min="6" max="6" width="12.625"/>
    <col min="7" max="7" width="9.375"/>
    <col min="8" max="8" width="13.75"/>
    <col min="9" max="9" width="9.375"/>
    <col min="10" max="10" width="11.125" customWidth="1"/>
    <col min="11" max="11" width="15.75" customWidth="1"/>
    <col min="12" max="12" width="11" customWidth="1"/>
    <col min="13" max="13" width="13.875" bestFit="1" customWidth="1"/>
    <col min="14" max="14" width="24" customWidth="1"/>
    <col min="15" max="16" width="13.75"/>
    <col min="17" max="17" width="15.375"/>
    <col min="18" max="18" width="14" customWidth="1"/>
    <col min="19" max="19" width="13.125" customWidth="1"/>
    <col min="20" max="21" width="13.75"/>
    <col min="22" max="26" width="12.625"/>
  </cols>
  <sheetData>
    <row r="1" spans="1:21" ht="33.75" x14ac:dyDescent="0.15">
      <c r="A1" s="128" t="s">
        <v>92</v>
      </c>
      <c r="B1" s="300"/>
      <c r="C1" s="300"/>
      <c r="D1" s="303" t="s">
        <v>0</v>
      </c>
      <c r="E1" s="304"/>
      <c r="F1" s="305"/>
      <c r="G1" s="303" t="s">
        <v>98</v>
      </c>
      <c r="H1" s="304"/>
      <c r="I1" s="305"/>
      <c r="J1" s="303" t="s">
        <v>1</v>
      </c>
      <c r="K1" s="304"/>
      <c r="L1" s="306"/>
      <c r="M1" s="75" t="s">
        <v>134</v>
      </c>
      <c r="N1" s="6" t="s">
        <v>110</v>
      </c>
      <c r="O1" s="7" t="s">
        <v>111</v>
      </c>
      <c r="P1" s="7" t="s">
        <v>4</v>
      </c>
      <c r="Q1" s="7" t="s">
        <v>5</v>
      </c>
      <c r="R1" s="34" t="s">
        <v>112</v>
      </c>
      <c r="S1" s="7" t="s">
        <v>7</v>
      </c>
    </row>
    <row r="2" spans="1:21" x14ac:dyDescent="0.15">
      <c r="A2" s="301"/>
      <c r="B2" s="302"/>
      <c r="C2" s="302"/>
      <c r="D2" s="152"/>
      <c r="E2" s="153"/>
      <c r="F2" s="154"/>
      <c r="G2" s="152"/>
      <c r="H2" s="153"/>
      <c r="I2" s="154"/>
      <c r="J2" s="152"/>
      <c r="K2" s="153"/>
      <c r="L2" s="260"/>
      <c r="M2" s="76"/>
      <c r="N2" s="8">
        <v>-1.1175928074999999</v>
      </c>
      <c r="O2" s="55">
        <v>-1.1175928074999999</v>
      </c>
      <c r="P2" s="10">
        <v>-1151699.69426674</v>
      </c>
      <c r="Q2" s="54">
        <v>-1.1022996897499999</v>
      </c>
      <c r="R2" s="35">
        <v>-1151700.8118595474</v>
      </c>
      <c r="S2" s="55">
        <v>-1151700.7965664298</v>
      </c>
    </row>
    <row r="3" spans="1:21" ht="14.25" thickBot="1" x14ac:dyDescent="0.2">
      <c r="A3" s="301"/>
      <c r="B3" s="302"/>
      <c r="C3" s="302"/>
      <c r="D3" s="155"/>
      <c r="E3" s="156"/>
      <c r="F3" s="157"/>
      <c r="G3" s="155"/>
      <c r="H3" s="156"/>
      <c r="I3" s="157"/>
      <c r="J3" s="155"/>
      <c r="K3" s="156"/>
      <c r="L3" s="307"/>
      <c r="M3" s="77"/>
      <c r="N3" s="44">
        <v>-5.8814999999999999E-2</v>
      </c>
      <c r="O3" s="45">
        <v>-5.8814999999999999E-2</v>
      </c>
      <c r="P3" s="45">
        <v>-520.93654281925001</v>
      </c>
      <c r="Q3" s="45">
        <v>-6.8642499999999995E-2</v>
      </c>
      <c r="R3" s="45">
        <v>-520.99535781924999</v>
      </c>
      <c r="S3" s="45">
        <v>-521.00518531925002</v>
      </c>
    </row>
    <row r="4" spans="1:21" x14ac:dyDescent="0.15">
      <c r="A4" s="2" t="s">
        <v>113</v>
      </c>
      <c r="B4" s="3" t="s">
        <v>4</v>
      </c>
      <c r="C4" s="59" t="s">
        <v>5</v>
      </c>
      <c r="D4" s="92" t="s">
        <v>113</v>
      </c>
      <c r="E4" s="114" t="s">
        <v>4</v>
      </c>
      <c r="F4" s="134" t="s">
        <v>5</v>
      </c>
      <c r="G4" s="92" t="s">
        <v>113</v>
      </c>
      <c r="H4" s="114" t="s">
        <v>4</v>
      </c>
      <c r="I4" s="134" t="s">
        <v>5</v>
      </c>
      <c r="J4" s="93" t="s">
        <v>113</v>
      </c>
      <c r="K4" s="115" t="s">
        <v>4</v>
      </c>
      <c r="L4" s="215" t="s">
        <v>5</v>
      </c>
      <c r="M4" s="84">
        <f>B10-1.68514</f>
        <v>2.7373944364444367</v>
      </c>
      <c r="N4" s="11">
        <v>-0.19517892125</v>
      </c>
      <c r="O4" s="10">
        <v>-0.19517892125</v>
      </c>
      <c r="P4" s="10">
        <v>-193637.75364357376</v>
      </c>
      <c r="Q4" s="54">
        <v>-0.21103936000000001</v>
      </c>
      <c r="R4" s="10">
        <v>-193637.948822495</v>
      </c>
      <c r="S4" s="54">
        <v>-193637.96468293376</v>
      </c>
    </row>
    <row r="5" spans="1:21" x14ac:dyDescent="0.15">
      <c r="A5" s="94">
        <f>O10</f>
        <v>-0.23084000499999993</v>
      </c>
      <c r="B5" s="112">
        <f>P10</f>
        <v>-568161.34678290912</v>
      </c>
      <c r="C5" s="132">
        <f>Q10</f>
        <v>-0.16990864924999999</v>
      </c>
      <c r="D5" s="92"/>
      <c r="E5" s="114"/>
      <c r="F5" s="134"/>
      <c r="G5" s="92"/>
      <c r="H5" s="114"/>
      <c r="I5" s="134"/>
      <c r="J5" s="244"/>
      <c r="K5" s="311"/>
      <c r="L5" s="216"/>
      <c r="M5" s="85"/>
      <c r="N5" s="11">
        <v>-0.42958807249999997</v>
      </c>
      <c r="O5" s="10">
        <v>-0.42958807249999997</v>
      </c>
      <c r="P5" s="10">
        <v>-568159.27279550501</v>
      </c>
      <c r="Q5" s="54">
        <v>-0.29545744750000003</v>
      </c>
      <c r="R5" s="10">
        <v>-568159.70238357747</v>
      </c>
      <c r="S5" s="54">
        <v>-568159.56825295254</v>
      </c>
    </row>
    <row r="6" spans="1:21" ht="14.25" thickBot="1" x14ac:dyDescent="0.2">
      <c r="A6" s="95"/>
      <c r="B6" s="113"/>
      <c r="C6" s="133"/>
      <c r="D6" s="92"/>
      <c r="E6" s="114"/>
      <c r="F6" s="134"/>
      <c r="G6" s="92"/>
      <c r="H6" s="114"/>
      <c r="I6" s="134"/>
      <c r="J6" s="177"/>
      <c r="K6" s="188"/>
      <c r="L6" s="217"/>
      <c r="M6" s="86"/>
      <c r="N6" s="8">
        <v>-0.63868261999999998</v>
      </c>
      <c r="O6" s="10">
        <v>-0.63868261999999998</v>
      </c>
      <c r="P6" s="10">
        <v>-955436.82708202896</v>
      </c>
      <c r="Q6" s="54">
        <v>-0.65108504899999997</v>
      </c>
      <c r="R6" s="10">
        <v>-955437.46576464898</v>
      </c>
      <c r="S6" s="54">
        <v>-955437.47816707799</v>
      </c>
    </row>
    <row r="7" spans="1:21" x14ac:dyDescent="0.15">
      <c r="A7" s="42" t="s">
        <v>113</v>
      </c>
      <c r="B7" s="43" t="s">
        <v>4</v>
      </c>
      <c r="C7" s="60" t="s">
        <v>5</v>
      </c>
      <c r="D7" s="92">
        <f>O5</f>
        <v>-0.42958807249999997</v>
      </c>
      <c r="E7" s="114">
        <f>P5</f>
        <v>-568159.27279550501</v>
      </c>
      <c r="F7" s="134">
        <f>Q5</f>
        <v>-0.29545744750000003</v>
      </c>
      <c r="G7" s="218">
        <f>-8.81716027</f>
        <v>-8.8171602700000005</v>
      </c>
      <c r="H7" s="232">
        <f>-9779144.00068572-(-8.81716027)</f>
        <v>-9779135.1835254505</v>
      </c>
      <c r="I7" s="238">
        <f>-8.60894409</f>
        <v>-8.6089440899999996</v>
      </c>
      <c r="J7" s="219">
        <v>-8.9407424599999992</v>
      </c>
      <c r="K7" s="233">
        <v>-9213597.5541339312</v>
      </c>
      <c r="L7" s="254">
        <v>-8.8183975179999994</v>
      </c>
      <c r="M7" s="84">
        <f>H10-1.68514</f>
        <v>2.6841882801944386</v>
      </c>
      <c r="N7" s="11">
        <v>-0.49639496</v>
      </c>
      <c r="O7" s="10">
        <v>-0.49639496</v>
      </c>
      <c r="P7" s="10">
        <v>-196262.84019668351</v>
      </c>
      <c r="Q7" s="54">
        <v>-0.51031232049999997</v>
      </c>
      <c r="R7" s="35">
        <v>-196263.33659164351</v>
      </c>
      <c r="S7" s="55">
        <v>-196263.350509004</v>
      </c>
    </row>
    <row r="8" spans="1:21" ht="14.25" x14ac:dyDescent="0.15">
      <c r="A8" s="92">
        <f>O15</f>
        <v>-0.42958807249999997</v>
      </c>
      <c r="B8" s="114">
        <f>P15</f>
        <v>-568159.27279550501</v>
      </c>
      <c r="C8" s="134">
        <f>Q15</f>
        <v>-0.29545744750000003</v>
      </c>
      <c r="D8" s="92"/>
      <c r="E8" s="114"/>
      <c r="F8" s="134"/>
      <c r="G8" s="218"/>
      <c r="H8" s="232"/>
      <c r="I8" s="238"/>
      <c r="J8" s="245"/>
      <c r="K8" s="312"/>
      <c r="L8" s="309"/>
      <c r="M8" s="85"/>
      <c r="N8" s="13">
        <v>9.9374033750000021E-2</v>
      </c>
      <c r="O8" s="14">
        <v>9.9374033750000021E-2</v>
      </c>
      <c r="P8" s="14">
        <v>-1.0369937020586804</v>
      </c>
      <c r="Q8" s="14">
        <v>6.2774399125000019E-2</v>
      </c>
      <c r="R8" s="14">
        <v>-0.93761966830868038</v>
      </c>
      <c r="S8" s="14">
        <v>-0.97421930293368031</v>
      </c>
      <c r="T8" s="36">
        <v>-1.1100000000000001</v>
      </c>
    </row>
    <row r="9" spans="1:21" ht="15" thickBot="1" x14ac:dyDescent="0.2">
      <c r="A9" s="93"/>
      <c r="B9" s="115"/>
      <c r="C9" s="135"/>
      <c r="D9" s="93"/>
      <c r="E9" s="115"/>
      <c r="F9" s="135"/>
      <c r="G9" s="219"/>
      <c r="H9" s="233"/>
      <c r="I9" s="239"/>
      <c r="J9" s="246"/>
      <c r="K9" s="313"/>
      <c r="L9" s="310"/>
      <c r="M9" s="86"/>
      <c r="N9" s="13">
        <v>0.19874806750000004</v>
      </c>
      <c r="O9" s="14">
        <v>0.19874806750000004</v>
      </c>
      <c r="P9" s="14">
        <v>-2.0739874041173607</v>
      </c>
      <c r="Q9" s="14">
        <v>0.12554879825000004</v>
      </c>
      <c r="R9" s="14">
        <v>-1.8752393366173608</v>
      </c>
      <c r="S9" s="14">
        <v>-1.9484386058673606</v>
      </c>
      <c r="T9" s="36">
        <v>-2.2200000000000002</v>
      </c>
    </row>
    <row r="10" spans="1:21" x14ac:dyDescent="0.15">
      <c r="A10" s="96" t="s">
        <v>116</v>
      </c>
      <c r="B10" s="158">
        <f>E10+H10</f>
        <v>4.4225344364444368</v>
      </c>
      <c r="C10" s="159"/>
      <c r="D10" s="171" t="s">
        <v>114</v>
      </c>
      <c r="E10" s="158">
        <f>G7-J7-A5+A35</f>
        <v>5.3206156249998582E-2</v>
      </c>
      <c r="F10" s="159"/>
      <c r="G10" s="220" t="s">
        <v>13</v>
      </c>
      <c r="H10" s="158">
        <f>H7-K7-B5+B35+(-1)*(-5.73849)</f>
        <v>4.3693282801944386</v>
      </c>
      <c r="I10" s="159"/>
      <c r="J10" s="220" t="s">
        <v>14</v>
      </c>
      <c r="K10" s="158">
        <f>I7-L7-C5+C35+H10</f>
        <v>4.4494173969444386</v>
      </c>
      <c r="L10" s="262"/>
      <c r="M10" s="87">
        <f>K10-1.68514</f>
        <v>2.7642773969444385</v>
      </c>
      <c r="N10" s="15">
        <v>-0.23084000499999993</v>
      </c>
      <c r="O10" s="16">
        <v>-0.23084000499999993</v>
      </c>
      <c r="P10" s="16">
        <v>-568161.34678290912</v>
      </c>
      <c r="Q10" s="57">
        <v>-0.16990864924999999</v>
      </c>
      <c r="R10" s="58">
        <v>-568161.5776229141</v>
      </c>
      <c r="S10" s="58">
        <v>-568161.51669155841</v>
      </c>
    </row>
    <row r="11" spans="1:21" x14ac:dyDescent="0.15">
      <c r="A11" s="97"/>
      <c r="B11" s="160"/>
      <c r="C11" s="161"/>
      <c r="D11" s="123"/>
      <c r="E11" s="160"/>
      <c r="F11" s="161"/>
      <c r="G11" s="124"/>
      <c r="H11" s="160"/>
      <c r="I11" s="161"/>
      <c r="J11" s="124"/>
      <c r="K11" s="160"/>
      <c r="L11" s="263"/>
      <c r="M11" s="88"/>
      <c r="N11" s="17">
        <v>-9.5804887499999977E-2</v>
      </c>
      <c r="O11" s="18">
        <v>-9.5804887499999977E-2</v>
      </c>
      <c r="P11" s="18">
        <v>-193638.79063727582</v>
      </c>
      <c r="Q11" s="56">
        <v>-0.14826496087499999</v>
      </c>
      <c r="R11" s="58">
        <v>-193638.88644216332</v>
      </c>
      <c r="S11" s="56">
        <v>-193638.9389022367</v>
      </c>
    </row>
    <row r="12" spans="1:21" ht="14.25" thickBot="1" x14ac:dyDescent="0.2">
      <c r="A12" s="98"/>
      <c r="B12" s="162"/>
      <c r="C12" s="163"/>
      <c r="D12" s="125"/>
      <c r="E12" s="162"/>
      <c r="F12" s="163"/>
      <c r="G12" s="126"/>
      <c r="H12" s="162"/>
      <c r="I12" s="163"/>
      <c r="J12" s="126"/>
      <c r="K12" s="162"/>
      <c r="L12" s="264"/>
      <c r="M12" s="89"/>
      <c r="N12" s="15">
        <v>-0.30121603875000003</v>
      </c>
      <c r="O12" s="16">
        <v>-0.30121603875000003</v>
      </c>
      <c r="P12" s="16">
        <v>-2625.0865531095769</v>
      </c>
      <c r="Q12" s="57">
        <v>-0.29927296049999996</v>
      </c>
      <c r="R12" s="58">
        <v>-2625.3877691483272</v>
      </c>
      <c r="S12" s="57">
        <v>-2625.3858260700767</v>
      </c>
    </row>
    <row r="13" spans="1:21" x14ac:dyDescent="0.15">
      <c r="A13" s="99" t="s">
        <v>117</v>
      </c>
      <c r="B13" s="158">
        <f>E13+H13</f>
        <v>3.4849147681357571</v>
      </c>
      <c r="C13" s="158"/>
      <c r="D13" s="171" t="s">
        <v>115</v>
      </c>
      <c r="E13" s="158">
        <f>G7-J7-D7+A38</f>
        <v>0.15258018999999867</v>
      </c>
      <c r="F13" s="159"/>
      <c r="G13" s="171" t="s">
        <v>16</v>
      </c>
      <c r="H13" s="158">
        <f>H7-K7-E7+B38+(-1)*(-5.73849)</f>
        <v>3.3323345781357583</v>
      </c>
      <c r="I13" s="159"/>
      <c r="J13" s="220" t="s">
        <v>17</v>
      </c>
      <c r="K13" s="158">
        <f>I7-L7-F7+C38+H13</f>
        <v>3.4751980940107581</v>
      </c>
      <c r="L13" s="262"/>
      <c r="M13" s="87">
        <f>K13-1.68514</f>
        <v>1.790058094010758</v>
      </c>
      <c r="N13" s="15">
        <v>-0.40059007250000001</v>
      </c>
      <c r="O13" s="18">
        <v>-0.40059007250000001</v>
      </c>
      <c r="P13" s="18">
        <v>-2624.0495594075182</v>
      </c>
      <c r="Q13" s="56">
        <v>-0.3620473596249999</v>
      </c>
      <c r="R13" s="58">
        <v>-2624.4501494800184</v>
      </c>
      <c r="S13" s="57">
        <v>-2624.4116067671434</v>
      </c>
    </row>
    <row r="14" spans="1:21" x14ac:dyDescent="0.15">
      <c r="A14" s="100"/>
      <c r="B14" s="160"/>
      <c r="C14" s="160"/>
      <c r="D14" s="123"/>
      <c r="E14" s="160"/>
      <c r="F14" s="161"/>
      <c r="G14" s="123"/>
      <c r="H14" s="160"/>
      <c r="I14" s="161"/>
      <c r="J14" s="124"/>
      <c r="K14" s="160"/>
      <c r="L14" s="263"/>
      <c r="M14" s="88"/>
      <c r="N14" s="15">
        <v>-0.19517892125</v>
      </c>
      <c r="O14" s="16">
        <v>-0.19517892125</v>
      </c>
      <c r="P14" s="16">
        <v>-193637.75364357376</v>
      </c>
      <c r="Q14" s="57">
        <v>-0.21103936000000001</v>
      </c>
      <c r="R14" s="58">
        <v>-193637.948822495</v>
      </c>
      <c r="S14" s="57">
        <v>-193637.96468293376</v>
      </c>
    </row>
    <row r="15" spans="1:21" ht="14.25" thickBot="1" x14ac:dyDescent="0.2">
      <c r="A15" s="101"/>
      <c r="B15" s="162"/>
      <c r="C15" s="162"/>
      <c r="D15" s="125"/>
      <c r="E15" s="162"/>
      <c r="F15" s="163"/>
      <c r="G15" s="125"/>
      <c r="H15" s="162"/>
      <c r="I15" s="163"/>
      <c r="J15" s="126"/>
      <c r="K15" s="162"/>
      <c r="L15" s="264"/>
      <c r="M15" s="89"/>
      <c r="N15" s="15">
        <v>-0.42958807249999997</v>
      </c>
      <c r="O15" s="16">
        <v>-0.42958807249999997</v>
      </c>
      <c r="P15" s="16">
        <v>-568159.27279550501</v>
      </c>
      <c r="Q15" s="57">
        <v>-0.29545744750000003</v>
      </c>
      <c r="R15" s="58">
        <v>-568159.70238357747</v>
      </c>
      <c r="S15" s="57">
        <v>-568159.56825295254</v>
      </c>
    </row>
    <row r="16" spans="1:21" x14ac:dyDescent="0.15">
      <c r="A16" s="128" t="s">
        <v>18</v>
      </c>
      <c r="B16" s="300"/>
      <c r="C16" s="300"/>
      <c r="D16" s="303" t="s">
        <v>19</v>
      </c>
      <c r="E16" s="304"/>
      <c r="F16" s="305"/>
      <c r="G16" s="308" t="s">
        <v>87</v>
      </c>
      <c r="H16" s="304"/>
      <c r="I16" s="305"/>
      <c r="J16" s="303" t="s">
        <v>1</v>
      </c>
      <c r="K16" s="304"/>
      <c r="L16" s="306"/>
      <c r="M16" s="75" t="s">
        <v>135</v>
      </c>
      <c r="N16" s="15">
        <v>-9.5804887499999977E-2</v>
      </c>
      <c r="O16" s="16">
        <v>-9.5804887499999977E-2</v>
      </c>
      <c r="P16" s="16">
        <v>-193638.79063727582</v>
      </c>
      <c r="Q16" s="57">
        <v>-0.14826496087499999</v>
      </c>
      <c r="R16" s="58">
        <v>-193638.88644216332</v>
      </c>
      <c r="S16" s="57">
        <v>-193638.9389022367</v>
      </c>
      <c r="U16">
        <f>-1674.566653606/2</f>
        <v>-837.28332680300002</v>
      </c>
    </row>
    <row r="17" spans="1:21" x14ac:dyDescent="0.15">
      <c r="A17" s="301"/>
      <c r="B17" s="302"/>
      <c r="C17" s="302"/>
      <c r="D17" s="152"/>
      <c r="E17" s="153"/>
      <c r="F17" s="154"/>
      <c r="G17" s="152"/>
      <c r="H17" s="153"/>
      <c r="I17" s="154"/>
      <c r="J17" s="152"/>
      <c r="K17" s="153"/>
      <c r="L17" s="260"/>
      <c r="M17" s="76"/>
      <c r="N17" s="15">
        <v>-0.19517892125</v>
      </c>
      <c r="O17" s="16">
        <v>-0.19517892125</v>
      </c>
      <c r="P17" s="16">
        <v>-193637.75364357376</v>
      </c>
      <c r="Q17" s="57">
        <v>-0.21103936000000001</v>
      </c>
      <c r="R17" s="58">
        <v>-193637.948822495</v>
      </c>
      <c r="S17" s="57">
        <v>-193637.96468293376</v>
      </c>
      <c r="U17">
        <f>-1674.579247676/2</f>
        <v>-837.28962383800001</v>
      </c>
    </row>
    <row r="18" spans="1:21" ht="14.25" thickBot="1" x14ac:dyDescent="0.2">
      <c r="A18" s="301"/>
      <c r="B18" s="302"/>
      <c r="C18" s="302"/>
      <c r="D18" s="155"/>
      <c r="E18" s="156"/>
      <c r="F18" s="157"/>
      <c r="G18" s="155"/>
      <c r="H18" s="156"/>
      <c r="I18" s="157"/>
      <c r="J18" s="155"/>
      <c r="K18" s="156"/>
      <c r="L18" s="307"/>
      <c r="M18" s="77"/>
      <c r="N18" s="44">
        <v>-0.10408000000000001</v>
      </c>
      <c r="O18" s="46">
        <v>-0.10408000000000001</v>
      </c>
      <c r="P18" s="46">
        <v>-836.81690386130003</v>
      </c>
      <c r="Q18" s="46">
        <v>-0.10961</v>
      </c>
      <c r="R18" s="45">
        <v>-836.92098386129999</v>
      </c>
      <c r="S18" s="45">
        <v>-836.92651386130001</v>
      </c>
    </row>
    <row r="19" spans="1:21" x14ac:dyDescent="0.15">
      <c r="A19" s="2" t="s">
        <v>113</v>
      </c>
      <c r="B19" s="3" t="s">
        <v>4</v>
      </c>
      <c r="C19" s="59" t="s">
        <v>5</v>
      </c>
      <c r="D19" s="92" t="s">
        <v>118</v>
      </c>
      <c r="E19" s="116" t="s">
        <v>4</v>
      </c>
      <c r="F19" s="136" t="s">
        <v>5</v>
      </c>
      <c r="G19" s="92" t="s">
        <v>118</v>
      </c>
      <c r="H19" s="116" t="s">
        <v>4</v>
      </c>
      <c r="I19" s="136" t="s">
        <v>5</v>
      </c>
      <c r="J19" s="92" t="s">
        <v>118</v>
      </c>
      <c r="K19" s="116" t="s">
        <v>4</v>
      </c>
      <c r="L19" s="251" t="s">
        <v>5</v>
      </c>
      <c r="M19" s="66">
        <f>B25-1.68514</f>
        <v>2.0042740338153142</v>
      </c>
      <c r="N19" s="20">
        <v>0.18126329499999999</v>
      </c>
      <c r="O19" s="9">
        <v>0.18126329499999999</v>
      </c>
      <c r="P19" s="9">
        <v>-2.0469993764418177</v>
      </c>
      <c r="Q19" s="55">
        <v>6.6451118500000073E-2</v>
      </c>
      <c r="R19" s="35">
        <v>-1.8657360814418178</v>
      </c>
      <c r="S19" s="55">
        <v>-1.9805482579418177</v>
      </c>
    </row>
    <row r="20" spans="1:21" x14ac:dyDescent="0.15">
      <c r="A20" s="94">
        <f>O11</f>
        <v>-9.5804887499999977E-2</v>
      </c>
      <c r="B20" s="112">
        <f>P11</f>
        <v>-193638.79063727582</v>
      </c>
      <c r="C20" s="132">
        <f>Q11</f>
        <v>-0.14826496087499999</v>
      </c>
      <c r="D20" s="102"/>
      <c r="E20" s="116"/>
      <c r="F20" s="136"/>
      <c r="G20" s="102"/>
      <c r="H20" s="116"/>
      <c r="I20" s="136"/>
      <c r="J20" s="102"/>
      <c r="K20" s="116"/>
      <c r="L20" s="251"/>
      <c r="M20" s="67"/>
      <c r="N20" s="20">
        <v>-0.14448749624999999</v>
      </c>
      <c r="O20" s="9">
        <v>-0.14448749624999999</v>
      </c>
      <c r="P20" s="9">
        <v>-2.966635663760826</v>
      </c>
      <c r="Q20" s="55">
        <v>-0.15358456299999995</v>
      </c>
      <c r="R20" s="35">
        <v>-3.111123160010826</v>
      </c>
      <c r="S20" s="55">
        <v>-3.1202202267608259</v>
      </c>
      <c r="U20">
        <f>P7-P4</f>
        <v>-2625.0865531097515</v>
      </c>
    </row>
    <row r="21" spans="1:21" ht="14.25" thickBot="1" x14ac:dyDescent="0.2">
      <c r="A21" s="95"/>
      <c r="B21" s="113"/>
      <c r="C21" s="133"/>
      <c r="D21" s="103"/>
      <c r="E21" s="117"/>
      <c r="F21" s="137"/>
      <c r="G21" s="103"/>
      <c r="H21" s="117"/>
      <c r="I21" s="137"/>
      <c r="J21" s="103"/>
      <c r="K21" s="117"/>
      <c r="L21" s="252"/>
      <c r="M21" s="68"/>
      <c r="N21" s="20">
        <v>5.4260571250000056E-2</v>
      </c>
      <c r="O21" s="9">
        <v>5.4260571250000056E-2</v>
      </c>
      <c r="P21" s="9">
        <v>-5.0406230678781867</v>
      </c>
      <c r="Q21" s="55">
        <v>-2.8035764749999914E-2</v>
      </c>
      <c r="R21" s="35">
        <v>-4.9863624966281863</v>
      </c>
      <c r="S21" s="55">
        <v>-5.0686588326281869</v>
      </c>
    </row>
    <row r="22" spans="1:21" x14ac:dyDescent="0.15">
      <c r="A22" s="42" t="s">
        <v>118</v>
      </c>
      <c r="B22" s="5" t="s">
        <v>4</v>
      </c>
      <c r="C22" s="61" t="s">
        <v>5</v>
      </c>
      <c r="D22" s="172">
        <f>O4</f>
        <v>-0.19517892125</v>
      </c>
      <c r="E22" s="186">
        <f>P4</f>
        <v>-193637.75364357376</v>
      </c>
      <c r="F22" s="136">
        <f>Q4</f>
        <v>-0.21103936000000001</v>
      </c>
      <c r="G22" s="221">
        <f>-8.75740224</f>
        <v>-8.7574022399999993</v>
      </c>
      <c r="H22" s="234">
        <f>-9404623.07298504+8.75740224</f>
        <v>-9404614.3155828007</v>
      </c>
      <c r="I22" s="238">
        <f>-8.672647296</f>
        <v>-8.6726472959999992</v>
      </c>
      <c r="J22" s="218">
        <f>J7</f>
        <v>-8.9407424599999992</v>
      </c>
      <c r="K22" s="218">
        <f>K7</f>
        <v>-9213597.5541339312</v>
      </c>
      <c r="L22" s="253">
        <f>L7</f>
        <v>-8.8183975179999994</v>
      </c>
      <c r="M22" s="66">
        <f>H25-1.68514</f>
        <v>2.1257189988153145</v>
      </c>
      <c r="N22" s="21">
        <v>1.7484772500000051E-2</v>
      </c>
      <c r="O22" s="9">
        <v>1.7484772500000051E-2</v>
      </c>
      <c r="P22" s="9">
        <v>-2.698802767554298E-2</v>
      </c>
      <c r="Q22" s="55">
        <v>5.9097679749999965E-2</v>
      </c>
      <c r="R22" s="35">
        <v>-9.5032551755429295E-3</v>
      </c>
      <c r="S22" s="55">
        <v>3.2109652074456985E-2</v>
      </c>
    </row>
    <row r="23" spans="1:21" x14ac:dyDescent="0.15">
      <c r="A23" s="102">
        <f>O14</f>
        <v>-0.19517892125</v>
      </c>
      <c r="B23" s="116">
        <f>P14</f>
        <v>-193637.75364357376</v>
      </c>
      <c r="C23" s="136">
        <f>Q14</f>
        <v>-0.21103936000000001</v>
      </c>
      <c r="D23" s="172"/>
      <c r="E23" s="186"/>
      <c r="F23" s="136"/>
      <c r="G23" s="221"/>
      <c r="H23" s="234"/>
      <c r="I23" s="238"/>
      <c r="J23" s="218"/>
      <c r="K23" s="218"/>
      <c r="L23" s="253"/>
      <c r="M23" s="67"/>
      <c r="N23" s="21">
        <v>0.19874806750000004</v>
      </c>
      <c r="O23" s="9">
        <v>0.19874806750000004</v>
      </c>
      <c r="P23" s="9">
        <v>-2.0739874041173607</v>
      </c>
      <c r="Q23" s="55">
        <v>0.12554879825000004</v>
      </c>
      <c r="R23" s="35">
        <v>-1.8752393366173608</v>
      </c>
      <c r="S23" s="55">
        <v>-1.9484386058673606</v>
      </c>
      <c r="U23">
        <f>-2083.446171277/4</f>
        <v>-520.86154281924996</v>
      </c>
    </row>
    <row r="24" spans="1:21" ht="14.25" thickBot="1" x14ac:dyDescent="0.2">
      <c r="A24" s="103"/>
      <c r="B24" s="117"/>
      <c r="C24" s="137"/>
      <c r="D24" s="173"/>
      <c r="E24" s="187"/>
      <c r="F24" s="137"/>
      <c r="G24" s="222"/>
      <c r="H24" s="235"/>
      <c r="I24" s="239"/>
      <c r="J24" s="219"/>
      <c r="K24" s="219"/>
      <c r="L24" s="254"/>
      <c r="M24" s="68"/>
      <c r="N24" s="22">
        <v>-1.102205E-3</v>
      </c>
      <c r="O24" s="9">
        <v>-1.102205E-3</v>
      </c>
      <c r="P24" s="9">
        <v>-15.874292753999999</v>
      </c>
      <c r="Q24" s="55">
        <v>-1.4659500000000001E-5</v>
      </c>
      <c r="R24" s="35">
        <v>-15.875394958999999</v>
      </c>
      <c r="S24" s="55">
        <v>-15.874307413499999</v>
      </c>
    </row>
    <row r="25" spans="1:21" x14ac:dyDescent="0.15">
      <c r="A25" s="96" t="s">
        <v>121</v>
      </c>
      <c r="B25" s="158">
        <f>E25+H25</f>
        <v>3.6894140338153143</v>
      </c>
      <c r="C25" s="159"/>
      <c r="D25" s="171" t="s">
        <v>119</v>
      </c>
      <c r="E25" s="158">
        <f>G22-J22-A20+A38</f>
        <v>-0.12144496500000018</v>
      </c>
      <c r="F25" s="159"/>
      <c r="G25" s="223" t="s">
        <v>28</v>
      </c>
      <c r="H25" s="158">
        <f>H22-K22-B20+B38+(-1)*(-5.83123)</f>
        <v>3.8108589988153145</v>
      </c>
      <c r="I25" s="159"/>
      <c r="J25" s="247" t="s">
        <v>29</v>
      </c>
      <c r="K25" s="158">
        <f>I22-L22-C20+C38+H25</f>
        <v>3.7428268220653149</v>
      </c>
      <c r="L25" s="262"/>
      <c r="M25" s="69">
        <f>K25-1.68514</f>
        <v>2.0576868220653148</v>
      </c>
      <c r="N25" s="14">
        <v>-0.1480136675</v>
      </c>
      <c r="O25" s="9">
        <v>-0.1480136675</v>
      </c>
      <c r="P25" s="9">
        <v>-1036.8432491415001</v>
      </c>
      <c r="Q25" s="55">
        <v>-0.1454714835</v>
      </c>
      <c r="R25" s="35">
        <v>-1036.9912628090001</v>
      </c>
      <c r="S25" s="55">
        <v>-1036.988720625</v>
      </c>
      <c r="U25">
        <f>P2-P7-P6</f>
        <v>-2.6988027500919998E-2</v>
      </c>
    </row>
    <row r="26" spans="1:21" x14ac:dyDescent="0.15">
      <c r="A26" s="104"/>
      <c r="B26" s="160"/>
      <c r="C26" s="161"/>
      <c r="D26" s="174"/>
      <c r="E26" s="160"/>
      <c r="F26" s="161"/>
      <c r="G26" s="224"/>
      <c r="H26" s="160"/>
      <c r="I26" s="161"/>
      <c r="J26" s="248"/>
      <c r="K26" s="160"/>
      <c r="L26" s="263"/>
      <c r="M26" s="70"/>
      <c r="N26" s="15">
        <v>-2.1016450000000001E-3</v>
      </c>
      <c r="O26" s="9">
        <v>-2.1016450000000001E-3</v>
      </c>
      <c r="P26" s="9">
        <v>-1490.0309117805</v>
      </c>
      <c r="Q26" s="55">
        <v>-1.2895699999999999E-4</v>
      </c>
      <c r="R26" s="35">
        <v>-1490.0330134255</v>
      </c>
      <c r="S26" s="55">
        <v>-1490.0310407375</v>
      </c>
    </row>
    <row r="27" spans="1:21" ht="14.25" thickBot="1" x14ac:dyDescent="0.2">
      <c r="A27" s="105"/>
      <c r="B27" s="162"/>
      <c r="C27" s="163"/>
      <c r="D27" s="175"/>
      <c r="E27" s="162"/>
      <c r="F27" s="163"/>
      <c r="G27" s="225"/>
      <c r="H27" s="162"/>
      <c r="I27" s="163"/>
      <c r="J27" s="249"/>
      <c r="K27" s="162"/>
      <c r="L27" s="264"/>
      <c r="M27" s="71"/>
      <c r="N27" s="23"/>
      <c r="O27" s="23"/>
      <c r="P27" s="23"/>
      <c r="Q27" s="23"/>
      <c r="R27" s="23"/>
      <c r="S27" s="23"/>
    </row>
    <row r="28" spans="1:21" x14ac:dyDescent="0.15">
      <c r="A28" s="99" t="s">
        <v>122</v>
      </c>
      <c r="B28" s="158">
        <f>E28+H28</f>
        <v>1.8141746971979535</v>
      </c>
      <c r="C28" s="158"/>
      <c r="D28" s="171" t="s">
        <v>120</v>
      </c>
      <c r="E28" s="158">
        <f>G22-J22-D22+A35</f>
        <v>7.7303102499999832E-2</v>
      </c>
      <c r="F28" s="159"/>
      <c r="G28" s="226" t="s">
        <v>34</v>
      </c>
      <c r="H28" s="158">
        <f>H22-K22-E22+B35+(-1)*(-5.83123)</f>
        <v>1.7368715946979538</v>
      </c>
      <c r="I28" s="159"/>
      <c r="J28" s="223" t="s">
        <v>35</v>
      </c>
      <c r="K28" s="158">
        <f>I22-L22-F22+C35+H28</f>
        <v>1.7943882161979541</v>
      </c>
      <c r="L28" s="262"/>
      <c r="M28" s="69">
        <f>K28-1.68514</f>
        <v>0.109248216197954</v>
      </c>
      <c r="N28" s="23"/>
      <c r="O28" s="23"/>
      <c r="P28" s="23"/>
      <c r="Q28" s="23"/>
      <c r="R28" s="23"/>
      <c r="S28" s="23"/>
    </row>
    <row r="29" spans="1:21" x14ac:dyDescent="0.15">
      <c r="A29" s="106"/>
      <c r="B29" s="160"/>
      <c r="C29" s="160"/>
      <c r="D29" s="174"/>
      <c r="E29" s="160"/>
      <c r="F29" s="161"/>
      <c r="G29" s="174"/>
      <c r="H29" s="160"/>
      <c r="I29" s="161"/>
      <c r="J29" s="224"/>
      <c r="K29" s="160"/>
      <c r="L29" s="263"/>
      <c r="M29" s="70"/>
      <c r="N29" s="23"/>
      <c r="O29" s="23"/>
      <c r="P29" s="23"/>
      <c r="Q29" s="23"/>
      <c r="R29" s="23"/>
      <c r="S29" s="23"/>
    </row>
    <row r="30" spans="1:21" ht="34.5" thickBot="1" x14ac:dyDescent="0.2">
      <c r="A30" s="107"/>
      <c r="B30" s="164"/>
      <c r="C30" s="164"/>
      <c r="D30" s="176"/>
      <c r="E30" s="164"/>
      <c r="F30" s="165"/>
      <c r="G30" s="176"/>
      <c r="H30" s="164"/>
      <c r="I30" s="165"/>
      <c r="J30" s="250"/>
      <c r="K30" s="164"/>
      <c r="L30" s="265"/>
      <c r="M30" s="71"/>
      <c r="N30" s="24" t="s">
        <v>36</v>
      </c>
      <c r="O30" s="7" t="s">
        <v>3</v>
      </c>
      <c r="P30" s="7" t="s">
        <v>4</v>
      </c>
      <c r="Q30" s="7" t="s">
        <v>5</v>
      </c>
      <c r="R30" s="38" t="s">
        <v>6</v>
      </c>
      <c r="S30" s="7" t="s">
        <v>7</v>
      </c>
    </row>
    <row r="31" spans="1:21" x14ac:dyDescent="0.15">
      <c r="A31" s="140" t="s">
        <v>101</v>
      </c>
      <c r="B31" s="141"/>
      <c r="C31" s="142"/>
      <c r="D31" s="140" t="s">
        <v>2</v>
      </c>
      <c r="E31" s="141"/>
      <c r="F31" s="142"/>
      <c r="G31" s="241" t="s">
        <v>102</v>
      </c>
      <c r="H31" s="141"/>
      <c r="I31" s="142"/>
      <c r="J31" s="140" t="s">
        <v>103</v>
      </c>
      <c r="K31" s="141"/>
      <c r="L31" s="256"/>
      <c r="M31" s="75" t="s">
        <v>135</v>
      </c>
      <c r="N31" s="11" t="s">
        <v>37</v>
      </c>
      <c r="O31" s="16">
        <f>-9.00413/8</f>
        <v>-1.12551625</v>
      </c>
      <c r="P31" s="25">
        <f>-25001.06843655/8</f>
        <v>-3125.1335545687498</v>
      </c>
      <c r="Q31" s="25">
        <v>-1.0829599999999999</v>
      </c>
      <c r="R31" s="37">
        <f t="shared" ref="R31:R36" si="0">P31+O31</f>
        <v>-3126.2590708187499</v>
      </c>
      <c r="S31" s="16">
        <f t="shared" ref="S31:S36" si="1">P31+Q31</f>
        <v>-3126.21651456875</v>
      </c>
    </row>
    <row r="32" spans="1:21" x14ac:dyDescent="0.15">
      <c r="A32" s="143"/>
      <c r="B32" s="144"/>
      <c r="C32" s="145"/>
      <c r="D32" s="143"/>
      <c r="E32" s="144"/>
      <c r="F32" s="145"/>
      <c r="G32" s="143"/>
      <c r="H32" s="144"/>
      <c r="I32" s="145"/>
      <c r="J32" s="143"/>
      <c r="K32" s="144"/>
      <c r="L32" s="257"/>
      <c r="M32" s="76"/>
      <c r="N32" s="11" t="s">
        <v>8</v>
      </c>
      <c r="O32" s="12">
        <v>-1.1990000000000001E-2</v>
      </c>
      <c r="P32" s="12">
        <v>-520.51582156749998</v>
      </c>
      <c r="Q32" s="12">
        <v>-8.1799999999999998E-3</v>
      </c>
      <c r="R32" s="37">
        <f t="shared" si="0"/>
        <v>-520.52781156749995</v>
      </c>
      <c r="S32" s="16">
        <f t="shared" si="1"/>
        <v>-520.52400156750002</v>
      </c>
      <c r="U32">
        <v>-541.34510042169995</v>
      </c>
    </row>
    <row r="33" spans="1:19" ht="14.25" thickBot="1" x14ac:dyDescent="0.2">
      <c r="A33" s="146"/>
      <c r="B33" s="147"/>
      <c r="C33" s="148"/>
      <c r="D33" s="207"/>
      <c r="E33" s="208"/>
      <c r="F33" s="209"/>
      <c r="G33" s="207"/>
      <c r="H33" s="208"/>
      <c r="I33" s="209"/>
      <c r="J33" s="207"/>
      <c r="K33" s="208"/>
      <c r="L33" s="258"/>
      <c r="M33" s="77"/>
      <c r="N33" s="11" t="s">
        <v>9</v>
      </c>
      <c r="O33" s="25">
        <f>-0.67676/4</f>
        <v>-0.16919000000000001</v>
      </c>
      <c r="P33" s="25">
        <v>-313.16044032125001</v>
      </c>
      <c r="Q33" s="25">
        <v>-0.16745375000000001</v>
      </c>
      <c r="R33" s="37">
        <f t="shared" si="0"/>
        <v>-313.32963032125002</v>
      </c>
      <c r="S33" s="16">
        <f t="shared" si="1"/>
        <v>-313.32789407125</v>
      </c>
    </row>
    <row r="34" spans="1:19" x14ac:dyDescent="0.15">
      <c r="A34" s="2" t="s">
        <v>113</v>
      </c>
      <c r="B34" s="3" t="s">
        <v>4</v>
      </c>
      <c r="C34" s="59" t="s">
        <v>5</v>
      </c>
      <c r="D34" s="177" t="s">
        <v>113</v>
      </c>
      <c r="E34" s="188" t="s">
        <v>4</v>
      </c>
      <c r="F34" s="206" t="s">
        <v>5</v>
      </c>
      <c r="G34" s="177" t="s">
        <v>113</v>
      </c>
      <c r="H34" s="188" t="s">
        <v>4</v>
      </c>
      <c r="I34" s="206" t="s">
        <v>5</v>
      </c>
      <c r="J34" s="177" t="s">
        <v>113</v>
      </c>
      <c r="K34" s="188" t="s">
        <v>4</v>
      </c>
      <c r="L34" s="217" t="s">
        <v>5</v>
      </c>
      <c r="M34" s="81">
        <f>B40-1.68514</f>
        <v>-0.88769542396492085</v>
      </c>
      <c r="N34" s="11" t="s">
        <v>10</v>
      </c>
      <c r="O34" s="25">
        <v>-0.33829500000000001</v>
      </c>
      <c r="P34" s="25">
        <v>-1659.5921449524999</v>
      </c>
      <c r="Q34" s="25">
        <v>-0.31450499999999998</v>
      </c>
      <c r="R34" s="37">
        <f t="shared" si="0"/>
        <v>-1659.9304399524999</v>
      </c>
      <c r="S34" s="16">
        <f t="shared" si="1"/>
        <v>-1659.9066499524999</v>
      </c>
    </row>
    <row r="35" spans="1:19" x14ac:dyDescent="0.15">
      <c r="A35" s="94">
        <f>O12</f>
        <v>-0.30121603875000003</v>
      </c>
      <c r="B35" s="112">
        <f>P12</f>
        <v>-2625.0865531095769</v>
      </c>
      <c r="C35" s="132">
        <f>Q12</f>
        <v>-0.29927296049999996</v>
      </c>
      <c r="D35" s="92"/>
      <c r="E35" s="114"/>
      <c r="F35" s="134"/>
      <c r="G35" s="92"/>
      <c r="H35" s="114"/>
      <c r="I35" s="134"/>
      <c r="J35" s="92"/>
      <c r="K35" s="114"/>
      <c r="L35" s="255"/>
      <c r="M35" s="82"/>
      <c r="N35" s="11" t="s">
        <v>38</v>
      </c>
      <c r="O35" s="25">
        <v>-0.64692000000000005</v>
      </c>
      <c r="P35" s="25">
        <f>-2287.895842303</f>
        <v>-2287.8958423029999</v>
      </c>
      <c r="Q35" s="25">
        <v>-0.66012999999999999</v>
      </c>
      <c r="R35" s="37">
        <f t="shared" si="0"/>
        <v>-2288.542762303</v>
      </c>
      <c r="S35" s="16">
        <f t="shared" si="1"/>
        <v>-2288.5559723030001</v>
      </c>
    </row>
    <row r="36" spans="1:19" ht="14.25" thickBot="1" x14ac:dyDescent="0.2">
      <c r="A36" s="95"/>
      <c r="B36" s="113"/>
      <c r="C36" s="133"/>
      <c r="D36" s="92"/>
      <c r="E36" s="114"/>
      <c r="F36" s="134"/>
      <c r="G36" s="92"/>
      <c r="H36" s="114"/>
      <c r="I36" s="134"/>
      <c r="J36" s="92"/>
      <c r="K36" s="114"/>
      <c r="L36" s="255"/>
      <c r="M36" s="83"/>
      <c r="N36" s="11" t="s">
        <v>11</v>
      </c>
      <c r="O36" s="12">
        <v>-0.49839</v>
      </c>
      <c r="P36" s="12">
        <v>-836.81690697830004</v>
      </c>
      <c r="Q36" s="12">
        <v>-0.51073500000000005</v>
      </c>
      <c r="R36" s="37">
        <f t="shared" si="0"/>
        <v>-837.31529697830001</v>
      </c>
      <c r="S36" s="16">
        <f t="shared" si="1"/>
        <v>-837.32764197829999</v>
      </c>
    </row>
    <row r="37" spans="1:19" x14ac:dyDescent="0.15">
      <c r="A37" s="42" t="s">
        <v>113</v>
      </c>
      <c r="B37" s="43" t="s">
        <v>4</v>
      </c>
      <c r="C37" s="60" t="s">
        <v>5</v>
      </c>
      <c r="D37" s="92">
        <f>-0.27401/4</f>
        <v>-6.8502499999999994E-2</v>
      </c>
      <c r="E37" s="114">
        <f>-2083.936757544/4</f>
        <v>-520.98418938600003</v>
      </c>
      <c r="F37" s="134">
        <f>-0.2787/4</f>
        <v>-6.9675000000000001E-2</v>
      </c>
      <c r="G37" s="218">
        <f>-9.2046693</f>
        <v>-9.2046693000000008</v>
      </c>
      <c r="H37" s="232">
        <f>-8648075.29396805+9.2046693</f>
        <v>-8648066.0892987493</v>
      </c>
      <c r="I37" s="238">
        <f>-9.025255869</f>
        <v>-9.0252558690000004</v>
      </c>
      <c r="J37" s="218">
        <f>J7</f>
        <v>-8.9407424599999992</v>
      </c>
      <c r="K37" s="232">
        <f>K7</f>
        <v>-9213597.5541339312</v>
      </c>
      <c r="L37" s="253">
        <f>L7</f>
        <v>-8.8183975179999994</v>
      </c>
      <c r="M37" s="84">
        <f>H40-1.68514</f>
        <v>-0.69414461771491931</v>
      </c>
      <c r="N37" s="26" t="s">
        <v>39</v>
      </c>
      <c r="O37" s="14">
        <f>O52/2</f>
        <v>-3.7034374999999981E-2</v>
      </c>
      <c r="P37" s="14">
        <f>P52/2</f>
        <v>-1.3780667991323412</v>
      </c>
      <c r="Q37" s="14">
        <f>Q52/2</f>
        <v>-2.9874999999999846E-2</v>
      </c>
      <c r="R37" s="14">
        <f>R52/2</f>
        <v>-1.4151011741323412</v>
      </c>
      <c r="S37" s="14">
        <f>S52/2</f>
        <v>-1.4079417991323411</v>
      </c>
    </row>
    <row r="38" spans="1:19" x14ac:dyDescent="0.15">
      <c r="A38" s="92">
        <f>O13</f>
        <v>-0.40059007250000001</v>
      </c>
      <c r="B38" s="114">
        <f>P13</f>
        <v>-2624.0495594075182</v>
      </c>
      <c r="C38" s="134">
        <f>Q13</f>
        <v>-0.3620473596249999</v>
      </c>
      <c r="D38" s="92"/>
      <c r="E38" s="114"/>
      <c r="F38" s="134"/>
      <c r="G38" s="218"/>
      <c r="H38" s="232"/>
      <c r="I38" s="238"/>
      <c r="J38" s="218"/>
      <c r="K38" s="232"/>
      <c r="L38" s="253"/>
      <c r="M38" s="85"/>
      <c r="N38" s="26" t="s">
        <v>40</v>
      </c>
      <c r="O38" s="14">
        <f>O52</f>
        <v>-7.4068749999999961E-2</v>
      </c>
      <c r="P38" s="14">
        <f>P52</f>
        <v>-2.7561335982646824</v>
      </c>
      <c r="Q38" s="14">
        <f>Q52</f>
        <v>-5.9749999999999692E-2</v>
      </c>
      <c r="R38" s="14">
        <f>R52</f>
        <v>-2.8302023482646823</v>
      </c>
      <c r="S38" s="14">
        <f>S52</f>
        <v>-2.8158835982646822</v>
      </c>
    </row>
    <row r="39" spans="1:19" ht="15.75" thickBot="1" x14ac:dyDescent="0.2">
      <c r="A39" s="93"/>
      <c r="B39" s="115"/>
      <c r="C39" s="135"/>
      <c r="D39" s="93"/>
      <c r="E39" s="115"/>
      <c r="F39" s="135"/>
      <c r="G39" s="219"/>
      <c r="H39" s="233"/>
      <c r="I39" s="239"/>
      <c r="J39" s="219"/>
      <c r="K39" s="233"/>
      <c r="L39" s="254"/>
      <c r="M39" s="86"/>
      <c r="N39" s="27" t="s">
        <v>41</v>
      </c>
      <c r="O39" s="16">
        <f>O34+O38</f>
        <v>-0.41236374999999997</v>
      </c>
      <c r="P39" s="16">
        <f>P34+P38</f>
        <v>-1662.3482785507645</v>
      </c>
      <c r="Q39" s="16">
        <f>Q34+Q38</f>
        <v>-0.37425499999999967</v>
      </c>
      <c r="R39" s="37">
        <f t="shared" ref="R39:R46" si="2">P39+O39</f>
        <v>-1662.7606423007644</v>
      </c>
      <c r="S39" s="37">
        <f>Q39+P39</f>
        <v>-1662.7225335507644</v>
      </c>
    </row>
    <row r="40" spans="1:19" ht="15" x14ac:dyDescent="0.15">
      <c r="A40" s="96" t="s">
        <v>116</v>
      </c>
      <c r="B40" s="158">
        <f>E40+H40</f>
        <v>0.79744457603507923</v>
      </c>
      <c r="C40" s="159"/>
      <c r="D40" s="171" t="s">
        <v>114</v>
      </c>
      <c r="E40" s="158">
        <f>G37-J37-A35+A5</f>
        <v>-0.19355080625000157</v>
      </c>
      <c r="F40" s="159"/>
      <c r="G40" s="220" t="s">
        <v>13</v>
      </c>
      <c r="H40" s="158">
        <f>H37-K37-B35+B5+(-1)*(-5.78639)</f>
        <v>0.99099538228508077</v>
      </c>
      <c r="I40" s="159"/>
      <c r="J40" s="220" t="s">
        <v>14</v>
      </c>
      <c r="K40" s="158">
        <f>I37-L37-C35+C5+H40</f>
        <v>0.91350134253507975</v>
      </c>
      <c r="L40" s="262"/>
      <c r="M40" s="87">
        <f>K40-1.68514</f>
        <v>-0.77163865746492033</v>
      </c>
      <c r="N40" s="27" t="s">
        <v>42</v>
      </c>
      <c r="O40" s="18">
        <f>O33+O37</f>
        <v>-0.20622437499999999</v>
      </c>
      <c r="P40" s="18">
        <f>P33+P37</f>
        <v>-314.53850712038235</v>
      </c>
      <c r="Q40" s="18">
        <f>Q33+Q37</f>
        <v>-0.19732874999999986</v>
      </c>
      <c r="R40" s="37">
        <f t="shared" si="2"/>
        <v>-314.74473149538233</v>
      </c>
      <c r="S40" s="18">
        <f>S33+S37</f>
        <v>-314.73583587038235</v>
      </c>
    </row>
    <row r="41" spans="1:19" ht="15" x14ac:dyDescent="0.15">
      <c r="A41" s="97"/>
      <c r="B41" s="160"/>
      <c r="C41" s="161"/>
      <c r="D41" s="123"/>
      <c r="E41" s="160"/>
      <c r="F41" s="161"/>
      <c r="G41" s="124"/>
      <c r="H41" s="160"/>
      <c r="I41" s="161"/>
      <c r="J41" s="124"/>
      <c r="K41" s="160"/>
      <c r="L41" s="263"/>
      <c r="M41" s="88"/>
      <c r="N41" s="27" t="s">
        <v>43</v>
      </c>
      <c r="O41" s="16">
        <f>O31-O39-3*O33</f>
        <v>-0.2055825</v>
      </c>
      <c r="P41" s="16">
        <f>P31-P39-3*P33</f>
        <v>-523.3039550542353</v>
      </c>
      <c r="Q41" s="16">
        <f>Q31-Q39-3*Q33</f>
        <v>-0.20634375000000016</v>
      </c>
      <c r="R41" s="37">
        <f t="shared" si="2"/>
        <v>-523.50953755423529</v>
      </c>
      <c r="S41" s="16">
        <f t="shared" ref="S41:S46" si="3">P41+Q41</f>
        <v>-523.51029880423528</v>
      </c>
    </row>
    <row r="42" spans="1:19" ht="15.75" thickBot="1" x14ac:dyDescent="0.2">
      <c r="A42" s="167"/>
      <c r="B42" s="164"/>
      <c r="C42" s="165"/>
      <c r="D42" s="127"/>
      <c r="E42" s="164"/>
      <c r="F42" s="165"/>
      <c r="G42" s="205"/>
      <c r="H42" s="164"/>
      <c r="I42" s="165"/>
      <c r="J42" s="205"/>
      <c r="K42" s="164"/>
      <c r="L42" s="265"/>
      <c r="M42" s="89"/>
      <c r="N42" s="27" t="s">
        <v>44</v>
      </c>
      <c r="O42" s="18">
        <f>O31-O34-3*O40</f>
        <v>-0.16854812500000005</v>
      </c>
      <c r="P42" s="18">
        <f>P31-P34-3*P40</f>
        <v>-521.92588825510279</v>
      </c>
      <c r="Q42" s="18">
        <f>Q31-Q34-3*Q40</f>
        <v>-0.17646875000000029</v>
      </c>
      <c r="R42" s="37">
        <f t="shared" si="2"/>
        <v>-522.09443638010282</v>
      </c>
      <c r="S42" s="16">
        <f t="shared" si="3"/>
        <v>-522.10235700510282</v>
      </c>
    </row>
    <row r="43" spans="1:19" ht="15" x14ac:dyDescent="0.15">
      <c r="A43" s="168" t="s">
        <v>121</v>
      </c>
      <c r="B43" s="166">
        <f>E43+H43</f>
        <v>1.7350642443437594</v>
      </c>
      <c r="C43" s="166"/>
      <c r="D43" s="178" t="s">
        <v>124</v>
      </c>
      <c r="E43" s="166">
        <f>G37-J37-A38+A8</f>
        <v>-0.29292484000000163</v>
      </c>
      <c r="F43" s="213"/>
      <c r="G43" s="178" t="s">
        <v>28</v>
      </c>
      <c r="H43" s="166">
        <f>H37-K37-B38+B8+(-1)*(-5.78639)</f>
        <v>2.0279890843437611</v>
      </c>
      <c r="I43" s="213"/>
      <c r="J43" s="229" t="s">
        <v>29</v>
      </c>
      <c r="K43" s="166">
        <f>I37-L37-C38+C8+H43</f>
        <v>1.8877206454687601</v>
      </c>
      <c r="L43" s="266"/>
      <c r="M43" s="87">
        <f>K43-1.68514</f>
        <v>0.20258064546875998</v>
      </c>
      <c r="N43" s="27" t="s">
        <v>45</v>
      </c>
      <c r="O43" s="16">
        <f t="shared" ref="O43:Q44" si="4">O33</f>
        <v>-0.16919000000000001</v>
      </c>
      <c r="P43" s="16">
        <f t="shared" si="4"/>
        <v>-313.16044032125001</v>
      </c>
      <c r="Q43" s="16">
        <f t="shared" si="4"/>
        <v>-0.16745375000000001</v>
      </c>
      <c r="R43" s="37">
        <f t="shared" si="2"/>
        <v>-313.32963032125002</v>
      </c>
      <c r="S43" s="16">
        <f t="shared" si="3"/>
        <v>-313.32789407125</v>
      </c>
    </row>
    <row r="44" spans="1:19" ht="15" x14ac:dyDescent="0.15">
      <c r="A44" s="100"/>
      <c r="B44" s="160"/>
      <c r="C44" s="160"/>
      <c r="D44" s="123"/>
      <c r="E44" s="160"/>
      <c r="F44" s="161"/>
      <c r="G44" s="123"/>
      <c r="H44" s="160"/>
      <c r="I44" s="161"/>
      <c r="J44" s="124"/>
      <c r="K44" s="160"/>
      <c r="L44" s="263"/>
      <c r="M44" s="88"/>
      <c r="N44" s="27" t="s">
        <v>46</v>
      </c>
      <c r="O44" s="16">
        <f t="shared" si="4"/>
        <v>-0.33829500000000001</v>
      </c>
      <c r="P44" s="16">
        <f t="shared" si="4"/>
        <v>-1659.5921449524999</v>
      </c>
      <c r="Q44" s="16">
        <f t="shared" si="4"/>
        <v>-0.31450499999999998</v>
      </c>
      <c r="R44" s="37">
        <f t="shared" si="2"/>
        <v>-1659.9304399524999</v>
      </c>
      <c r="S44" s="16">
        <f t="shared" si="3"/>
        <v>-1659.9066499524999</v>
      </c>
    </row>
    <row r="45" spans="1:19" ht="15.75" thickBot="1" x14ac:dyDescent="0.2">
      <c r="A45" s="110"/>
      <c r="B45" s="164"/>
      <c r="C45" s="164"/>
      <c r="D45" s="125"/>
      <c r="E45" s="162"/>
      <c r="F45" s="163"/>
      <c r="G45" s="125"/>
      <c r="H45" s="162"/>
      <c r="I45" s="163"/>
      <c r="J45" s="126"/>
      <c r="K45" s="162"/>
      <c r="L45" s="264"/>
      <c r="M45" s="89"/>
      <c r="N45" s="27" t="s">
        <v>47</v>
      </c>
      <c r="O45" s="16">
        <f>O40</f>
        <v>-0.20622437499999999</v>
      </c>
      <c r="P45" s="16">
        <f>P40</f>
        <v>-314.53850712038235</v>
      </c>
      <c r="Q45" s="16">
        <f>Q40</f>
        <v>-0.19732874999999986</v>
      </c>
      <c r="R45" s="37">
        <f t="shared" si="2"/>
        <v>-314.74473149538233</v>
      </c>
      <c r="S45" s="16">
        <f t="shared" si="3"/>
        <v>-314.73583587038235</v>
      </c>
    </row>
    <row r="46" spans="1:19" ht="15" x14ac:dyDescent="0.15">
      <c r="A46" s="149" t="s">
        <v>105</v>
      </c>
      <c r="B46" s="150"/>
      <c r="C46" s="151"/>
      <c r="D46" s="149" t="s">
        <v>2</v>
      </c>
      <c r="E46" s="150"/>
      <c r="F46" s="151"/>
      <c r="G46" s="242" t="s">
        <v>100</v>
      </c>
      <c r="H46" s="150"/>
      <c r="I46" s="151"/>
      <c r="J46" s="149" t="s">
        <v>1</v>
      </c>
      <c r="K46" s="150"/>
      <c r="L46" s="259"/>
      <c r="M46" s="63" t="s">
        <v>135</v>
      </c>
      <c r="N46" s="27" t="s">
        <v>48</v>
      </c>
      <c r="O46" s="16">
        <f>O43</f>
        <v>-0.16919000000000001</v>
      </c>
      <c r="P46" s="16">
        <f>P43</f>
        <v>-313.16044032125001</v>
      </c>
      <c r="Q46" s="16">
        <f>Q43</f>
        <v>-0.16745375000000001</v>
      </c>
      <c r="R46" s="37">
        <f t="shared" si="2"/>
        <v>-313.32963032125002</v>
      </c>
      <c r="S46" s="16">
        <f t="shared" si="3"/>
        <v>-313.32789407125</v>
      </c>
    </row>
    <row r="47" spans="1:19" x14ac:dyDescent="0.15">
      <c r="A47" s="152"/>
      <c r="B47" s="153"/>
      <c r="C47" s="154"/>
      <c r="D47" s="152"/>
      <c r="E47" s="153"/>
      <c r="F47" s="154"/>
      <c r="G47" s="152"/>
      <c r="H47" s="153"/>
      <c r="I47" s="154"/>
      <c r="J47" s="152"/>
      <c r="K47" s="153"/>
      <c r="L47" s="260"/>
      <c r="M47" s="64"/>
      <c r="N47" s="16"/>
      <c r="O47" s="16"/>
      <c r="P47" s="16"/>
      <c r="Q47" s="16"/>
      <c r="R47" s="37"/>
      <c r="S47" s="16"/>
    </row>
    <row r="48" spans="1:19" ht="14.25" thickBot="1" x14ac:dyDescent="0.2">
      <c r="A48" s="155"/>
      <c r="B48" s="156"/>
      <c r="C48" s="157"/>
      <c r="D48" s="210"/>
      <c r="E48" s="211"/>
      <c r="F48" s="212"/>
      <c r="G48" s="210"/>
      <c r="H48" s="211"/>
      <c r="I48" s="212"/>
      <c r="J48" s="210"/>
      <c r="K48" s="211"/>
      <c r="L48" s="261"/>
      <c r="M48" s="65"/>
      <c r="N48" s="20" t="s">
        <v>20</v>
      </c>
      <c r="O48" s="16">
        <f>O35-O34-2*O33</f>
        <v>2.9754999999999976E-2</v>
      </c>
      <c r="P48" s="16">
        <f>P35-P34-2*P33</f>
        <v>-1.982816707999973</v>
      </c>
      <c r="Q48" s="16">
        <f>Q35-Q34-2*Q33</f>
        <v>-1.0717499999999991E-2</v>
      </c>
      <c r="R48" s="37">
        <f t="shared" ref="R48:R55" si="5">P48+O48</f>
        <v>-1.953061707999973</v>
      </c>
      <c r="S48" s="16">
        <f t="shared" ref="S48:S55" si="6">P48+Q48</f>
        <v>-1.9935342079999729</v>
      </c>
    </row>
    <row r="49" spans="1:19" x14ac:dyDescent="0.15">
      <c r="A49" s="2" t="s">
        <v>113</v>
      </c>
      <c r="B49" s="3" t="s">
        <v>4</v>
      </c>
      <c r="C49" s="59" t="s">
        <v>5</v>
      </c>
      <c r="D49" s="92" t="s">
        <v>113</v>
      </c>
      <c r="E49" s="114" t="s">
        <v>4</v>
      </c>
      <c r="F49" s="134" t="s">
        <v>5</v>
      </c>
      <c r="G49" s="92" t="s">
        <v>123</v>
      </c>
      <c r="H49" s="114" t="s">
        <v>4</v>
      </c>
      <c r="I49" s="134" t="s">
        <v>5</v>
      </c>
      <c r="J49" s="92" t="s">
        <v>113</v>
      </c>
      <c r="K49" s="114" t="s">
        <v>4</v>
      </c>
      <c r="L49" s="255" t="s">
        <v>5</v>
      </c>
      <c r="M49" s="66">
        <f>B55+1.68514</f>
        <v>4.6537751246098837</v>
      </c>
      <c r="N49" s="20" t="s">
        <v>21</v>
      </c>
      <c r="O49" s="16">
        <f>O36-O54-O55-6*O53-O33</f>
        <v>-0.1935925</v>
      </c>
      <c r="P49" s="16">
        <f>P36-P54-P55-6*P53-P33</f>
        <v>-2.7881334867350915</v>
      </c>
      <c r="Q49" s="16">
        <f>Q36-Q54-Q55-6*Q53-Q33</f>
        <v>-0.19816375000000003</v>
      </c>
      <c r="R49" s="37">
        <f t="shared" si="5"/>
        <v>-2.9817259867350914</v>
      </c>
      <c r="S49" s="16">
        <f t="shared" si="6"/>
        <v>-2.9862972367350915</v>
      </c>
    </row>
    <row r="50" spans="1:19" x14ac:dyDescent="0.15">
      <c r="A50" s="94">
        <f>A35</f>
        <v>-0.30121603875000003</v>
      </c>
      <c r="B50" s="112">
        <f>B35</f>
        <v>-2625.0865531095769</v>
      </c>
      <c r="C50" s="132">
        <f>C35</f>
        <v>-0.29927296049999996</v>
      </c>
      <c r="D50" s="92"/>
      <c r="E50" s="114"/>
      <c r="F50" s="134"/>
      <c r="G50" s="92"/>
      <c r="H50" s="114"/>
      <c r="I50" s="134"/>
      <c r="J50" s="92"/>
      <c r="K50" s="114"/>
      <c r="L50" s="255"/>
      <c r="M50" s="67"/>
      <c r="N50" s="20" t="s">
        <v>22</v>
      </c>
      <c r="O50" s="16">
        <f>O31-O32-O34-3*O33</f>
        <v>-0.26766124999999996</v>
      </c>
      <c r="P50" s="19">
        <f>P31-P32-P34-3*P33</f>
        <v>-5.5442670849997739</v>
      </c>
      <c r="Q50" s="16">
        <f>Q31-Q32-Q34-3*Q33</f>
        <v>-0.25791374999999972</v>
      </c>
      <c r="R50" s="37">
        <f t="shared" si="5"/>
        <v>-5.8119283349997737</v>
      </c>
      <c r="S50" s="16">
        <f t="shared" si="6"/>
        <v>-5.8021808349997741</v>
      </c>
    </row>
    <row r="51" spans="1:19" ht="14.25" thickBot="1" x14ac:dyDescent="0.2">
      <c r="A51" s="95"/>
      <c r="B51" s="113"/>
      <c r="C51" s="133"/>
      <c r="D51" s="92"/>
      <c r="E51" s="114"/>
      <c r="F51" s="134"/>
      <c r="G51" s="92"/>
      <c r="H51" s="114"/>
      <c r="I51" s="134"/>
      <c r="J51" s="92"/>
      <c r="K51" s="114"/>
      <c r="L51" s="255"/>
      <c r="M51" s="68"/>
      <c r="N51" s="21" t="s">
        <v>23</v>
      </c>
      <c r="O51" s="16">
        <f>O50-O49-O48</f>
        <v>-0.10382374999999994</v>
      </c>
      <c r="P51" s="16">
        <f>P50-P49-P48</f>
        <v>-0.7733168902647094</v>
      </c>
      <c r="Q51" s="16">
        <f>Q50-Q49-Q48</f>
        <v>-4.9032499999999701E-2</v>
      </c>
      <c r="R51" s="37">
        <f t="shared" si="5"/>
        <v>-0.87714064026470928</v>
      </c>
      <c r="S51" s="16">
        <f t="shared" si="6"/>
        <v>-0.8223493902647091</v>
      </c>
    </row>
    <row r="52" spans="1:19" x14ac:dyDescent="0.15">
      <c r="A52" s="42" t="s">
        <v>113</v>
      </c>
      <c r="B52" s="43" t="s">
        <v>4</v>
      </c>
      <c r="C52" s="60" t="s">
        <v>5</v>
      </c>
      <c r="D52" s="92">
        <f>D37</f>
        <v>-6.8502499999999994E-2</v>
      </c>
      <c r="E52" s="114">
        <f>E37</f>
        <v>-520.98418938600003</v>
      </c>
      <c r="F52" s="134">
        <f>F37</f>
        <v>-6.9675000000000001E-2</v>
      </c>
      <c r="G52" s="218">
        <f>-9.17334633</f>
        <v>-9.1733463299999993</v>
      </c>
      <c r="H52" s="232">
        <f>-9022585.22974792+9.17334633</f>
        <v>-9022576.0564015899</v>
      </c>
      <c r="I52" s="238">
        <f>-8.979834072</f>
        <v>-8.9798340719999992</v>
      </c>
      <c r="J52" s="92">
        <f>J37</f>
        <v>-8.9407424599999992</v>
      </c>
      <c r="K52" s="114">
        <f>K37</f>
        <v>-9213597.5541339312</v>
      </c>
      <c r="L52" s="255">
        <f>L37</f>
        <v>-8.8183975179999994</v>
      </c>
      <c r="M52" s="66">
        <f>H55+1.68514</f>
        <v>4.7803418771098833</v>
      </c>
      <c r="N52" s="21" t="s">
        <v>24</v>
      </c>
      <c r="O52" s="16">
        <f>O50-O49</f>
        <v>-7.4068749999999961E-2</v>
      </c>
      <c r="P52" s="16">
        <f>P50-P49</f>
        <v>-2.7561335982646824</v>
      </c>
      <c r="Q52" s="16">
        <f>Q50-Q49</f>
        <v>-5.9749999999999692E-2</v>
      </c>
      <c r="R52" s="37">
        <f t="shared" si="5"/>
        <v>-2.8302023482646823</v>
      </c>
      <c r="S52" s="16">
        <f t="shared" si="6"/>
        <v>-2.8158835982646822</v>
      </c>
    </row>
    <row r="53" spans="1:19" x14ac:dyDescent="0.15">
      <c r="A53" s="92">
        <f>A38</f>
        <v>-0.40059007250000001</v>
      </c>
      <c r="B53" s="114">
        <f>B38</f>
        <v>-2624.0495594075182</v>
      </c>
      <c r="C53" s="134">
        <f>C38</f>
        <v>-0.3620473596249999</v>
      </c>
      <c r="D53" s="92"/>
      <c r="E53" s="114"/>
      <c r="F53" s="134"/>
      <c r="G53" s="218"/>
      <c r="H53" s="232"/>
      <c r="I53" s="238"/>
      <c r="J53" s="92"/>
      <c r="K53" s="114"/>
      <c r="L53" s="255"/>
      <c r="M53" s="67"/>
      <c r="N53" s="22" t="s">
        <v>25</v>
      </c>
      <c r="O53" s="16">
        <f>-0.00003/2</f>
        <v>-1.5E-5</v>
      </c>
      <c r="P53" s="16">
        <f>-31.69580258858/2</f>
        <v>-15.847901294290001</v>
      </c>
      <c r="Q53" s="16">
        <f>-0.00003/2</f>
        <v>-1.5E-5</v>
      </c>
      <c r="R53" s="37">
        <f t="shared" si="5"/>
        <v>-15.84791629429</v>
      </c>
      <c r="S53" s="16">
        <f t="shared" si="6"/>
        <v>-15.84791629429</v>
      </c>
    </row>
    <row r="54" spans="1:19" ht="14.25" thickBot="1" x14ac:dyDescent="0.2">
      <c r="A54" s="93"/>
      <c r="B54" s="115"/>
      <c r="C54" s="135"/>
      <c r="D54" s="93"/>
      <c r="E54" s="115"/>
      <c r="F54" s="135"/>
      <c r="G54" s="219"/>
      <c r="H54" s="233"/>
      <c r="I54" s="239"/>
      <c r="J54" s="93"/>
      <c r="K54" s="115"/>
      <c r="L54" s="215"/>
      <c r="M54" s="68"/>
      <c r="N54" s="14" t="s">
        <v>30</v>
      </c>
      <c r="O54" s="16">
        <f>-0.54157/4</f>
        <v>-0.1353925</v>
      </c>
      <c r="P54" s="16">
        <f>-620.2735402879/4</f>
        <v>-155.068385071975</v>
      </c>
      <c r="Q54" s="16">
        <f>-0.57959/4</f>
        <v>-0.14489750000000001</v>
      </c>
      <c r="R54" s="37">
        <f t="shared" si="5"/>
        <v>-155.203777571975</v>
      </c>
      <c r="S54" s="16">
        <f t="shared" si="6"/>
        <v>-155.21328257197501</v>
      </c>
    </row>
    <row r="55" spans="1:19" x14ac:dyDescent="0.15">
      <c r="A55" s="96" t="s">
        <v>116</v>
      </c>
      <c r="B55" s="121">
        <f>E55+H55</f>
        <v>2.9686351246098837</v>
      </c>
      <c r="C55" s="122"/>
      <c r="D55" s="171" t="s">
        <v>114</v>
      </c>
      <c r="E55" s="121">
        <f>G52-J52-A50+A23</f>
        <v>-0.12656675250000013</v>
      </c>
      <c r="F55" s="122"/>
      <c r="G55" s="220" t="s">
        <v>13</v>
      </c>
      <c r="H55" s="121">
        <f>H52-K52-B50+B23+(1)*(-5.73544)</f>
        <v>3.0952018771098837</v>
      </c>
      <c r="I55" s="122"/>
      <c r="J55" s="220" t="s">
        <v>14</v>
      </c>
      <c r="K55" s="121">
        <f>I52-L52-C50+C23+H55</f>
        <v>3.0219989236098836</v>
      </c>
      <c r="L55" s="267"/>
      <c r="M55" s="69">
        <f>K55+1.68514</f>
        <v>4.7071389236098842</v>
      </c>
      <c r="N55" s="15" t="s">
        <v>31</v>
      </c>
      <c r="O55" s="16">
        <f>-0.00025/2</f>
        <v>-1.25E-4</v>
      </c>
      <c r="P55" s="16">
        <f>-541.4250806652/2</f>
        <v>-270.71254033259999</v>
      </c>
      <c r="Q55" s="16">
        <f>-0.00026/2</f>
        <v>-1.2999999999999999E-4</v>
      </c>
      <c r="R55" s="37">
        <f t="shared" si="5"/>
        <v>-270.71266533260001</v>
      </c>
      <c r="S55" s="16">
        <f t="shared" si="6"/>
        <v>-270.7126703326</v>
      </c>
    </row>
    <row r="56" spans="1:19" x14ac:dyDescent="0.15">
      <c r="A56" s="97"/>
      <c r="B56" s="123"/>
      <c r="C56" s="124"/>
      <c r="D56" s="123"/>
      <c r="E56" s="123"/>
      <c r="F56" s="124"/>
      <c r="G56" s="124"/>
      <c r="H56" s="123"/>
      <c r="I56" s="124"/>
      <c r="J56" s="124"/>
      <c r="K56" s="123"/>
      <c r="L56" s="268"/>
      <c r="M56" s="70"/>
    </row>
    <row r="57" spans="1:19" ht="14.25" thickBot="1" x14ac:dyDescent="0.2">
      <c r="A57" s="98"/>
      <c r="B57" s="125"/>
      <c r="C57" s="126"/>
      <c r="D57" s="125"/>
      <c r="E57" s="125"/>
      <c r="F57" s="126"/>
      <c r="G57" s="126"/>
      <c r="H57" s="125"/>
      <c r="I57" s="126"/>
      <c r="J57" s="126"/>
      <c r="K57" s="125"/>
      <c r="L57" s="269"/>
      <c r="M57" s="71"/>
    </row>
    <row r="58" spans="1:19" x14ac:dyDescent="0.15">
      <c r="A58" s="99" t="s">
        <v>121</v>
      </c>
      <c r="B58" s="121">
        <f>E58+H58</f>
        <v>1.0933957879925229</v>
      </c>
      <c r="C58" s="121"/>
      <c r="D58" s="171" t="s">
        <v>124</v>
      </c>
      <c r="E58" s="121">
        <f>G52-J52-A53+A20</f>
        <v>7.2181314999999871E-2</v>
      </c>
      <c r="F58" s="122"/>
      <c r="G58" s="171" t="s">
        <v>28</v>
      </c>
      <c r="H58" s="121">
        <f>H52-K52-B53+B20+(1)*(-5.73544)</f>
        <v>1.021214472992523</v>
      </c>
      <c r="I58" s="122"/>
      <c r="J58" s="220" t="s">
        <v>29</v>
      </c>
      <c r="K58" s="121">
        <f>I52-L52-C53+C20+H58</f>
        <v>1.073560317742523</v>
      </c>
      <c r="L58" s="267"/>
      <c r="M58" s="69">
        <f>K58+1.68514</f>
        <v>2.7587003177425231</v>
      </c>
    </row>
    <row r="59" spans="1:19" x14ac:dyDescent="0.15">
      <c r="A59" s="100"/>
      <c r="B59" s="123"/>
      <c r="C59" s="123"/>
      <c r="D59" s="123"/>
      <c r="E59" s="123"/>
      <c r="F59" s="124"/>
      <c r="G59" s="123"/>
      <c r="H59" s="123"/>
      <c r="I59" s="124"/>
      <c r="J59" s="124"/>
      <c r="K59" s="123"/>
      <c r="L59" s="268"/>
      <c r="M59" s="70"/>
    </row>
    <row r="60" spans="1:19" ht="34.5" thickBot="1" x14ac:dyDescent="0.2">
      <c r="A60" s="101"/>
      <c r="B60" s="125"/>
      <c r="C60" s="125"/>
      <c r="D60" s="125"/>
      <c r="E60" s="125"/>
      <c r="F60" s="126"/>
      <c r="G60" s="125"/>
      <c r="H60" s="125"/>
      <c r="I60" s="126"/>
      <c r="J60" s="126"/>
      <c r="K60" s="125"/>
      <c r="L60" s="269"/>
      <c r="M60" s="71"/>
      <c r="N60" s="28" t="s">
        <v>49</v>
      </c>
      <c r="O60" s="29" t="s">
        <v>6</v>
      </c>
      <c r="P60" s="30" t="s">
        <v>4</v>
      </c>
      <c r="Q60" s="39" t="s">
        <v>7</v>
      </c>
    </row>
    <row r="61" spans="1:19" x14ac:dyDescent="0.15">
      <c r="A61" s="128" t="s">
        <v>92</v>
      </c>
      <c r="B61" s="129"/>
      <c r="C61" s="129"/>
      <c r="D61" s="196" t="s">
        <v>0</v>
      </c>
      <c r="E61" s="197"/>
      <c r="F61" s="198"/>
      <c r="G61" s="196" t="s">
        <v>93</v>
      </c>
      <c r="H61" s="197"/>
      <c r="I61" s="198"/>
      <c r="J61" s="196" t="s">
        <v>89</v>
      </c>
      <c r="K61" s="197"/>
      <c r="L61" s="270"/>
      <c r="M61" s="63" t="s">
        <v>135</v>
      </c>
      <c r="N61" s="31" t="s">
        <v>9</v>
      </c>
      <c r="O61" s="16">
        <v>-313.32963032125002</v>
      </c>
      <c r="P61" s="16"/>
      <c r="Q61" s="16"/>
    </row>
    <row r="62" spans="1:19" x14ac:dyDescent="0.15">
      <c r="A62" s="130"/>
      <c r="B62" s="131"/>
      <c r="C62" s="131"/>
      <c r="D62" s="199"/>
      <c r="E62" s="200"/>
      <c r="F62" s="201"/>
      <c r="G62" s="199"/>
      <c r="H62" s="200"/>
      <c r="I62" s="201"/>
      <c r="J62" s="199"/>
      <c r="K62" s="200"/>
      <c r="L62" s="271"/>
      <c r="M62" s="64"/>
      <c r="N62" s="32" t="s">
        <v>10</v>
      </c>
      <c r="O62" s="16"/>
      <c r="P62" s="25">
        <v>-1659.5921449524999</v>
      </c>
      <c r="Q62" s="16">
        <v>-1659.9066499524999</v>
      </c>
    </row>
    <row r="63" spans="1:19" ht="14.25" thickBot="1" x14ac:dyDescent="0.2">
      <c r="A63" s="130"/>
      <c r="B63" s="131"/>
      <c r="C63" s="131"/>
      <c r="D63" s="202"/>
      <c r="E63" s="203"/>
      <c r="F63" s="204"/>
      <c r="G63" s="202"/>
      <c r="H63" s="203"/>
      <c r="I63" s="204"/>
      <c r="J63" s="202"/>
      <c r="K63" s="203"/>
      <c r="L63" s="272"/>
      <c r="M63" s="65"/>
      <c r="N63" s="32" t="s">
        <v>38</v>
      </c>
      <c r="O63" s="16">
        <v>-2288.542762303</v>
      </c>
      <c r="P63" s="16">
        <v>-2287.8958423029999</v>
      </c>
      <c r="Q63" s="16"/>
    </row>
    <row r="64" spans="1:19" x14ac:dyDescent="0.15">
      <c r="A64" s="40" t="str">
        <f t="shared" ref="A64:C68" si="7">A4</f>
        <v>MBD</v>
      </c>
      <c r="B64" s="41" t="str">
        <f t="shared" si="7"/>
        <v>PBE</v>
      </c>
      <c r="C64" s="62" t="str">
        <f t="shared" si="7"/>
        <v>TS</v>
      </c>
      <c r="D64" s="179" t="s">
        <v>113</v>
      </c>
      <c r="E64" s="189" t="s">
        <v>4</v>
      </c>
      <c r="F64" s="134" t="s">
        <v>5</v>
      </c>
      <c r="G64" s="179" t="s">
        <v>113</v>
      </c>
      <c r="H64" s="189" t="s">
        <v>4</v>
      </c>
      <c r="I64" s="134" t="s">
        <v>5</v>
      </c>
      <c r="J64" s="179" t="s">
        <v>113</v>
      </c>
      <c r="K64" s="189" t="s">
        <v>4</v>
      </c>
      <c r="L64" s="255" t="s">
        <v>5</v>
      </c>
      <c r="M64" s="66">
        <f>B70+1.68514</f>
        <v>5.7562587507569241</v>
      </c>
      <c r="N64" s="33" t="s">
        <v>20</v>
      </c>
      <c r="O64" s="16">
        <f>O63-P62-2*O61</f>
        <v>-2.2913567080000803</v>
      </c>
      <c r="P64" s="16"/>
      <c r="Q64" s="16">
        <f>O63-Q62-2*O61</f>
        <v>-1.9768517080000265</v>
      </c>
    </row>
    <row r="65" spans="1:21" x14ac:dyDescent="0.15">
      <c r="A65" s="90">
        <f t="shared" si="7"/>
        <v>-0.23084000499999993</v>
      </c>
      <c r="B65" s="118">
        <f t="shared" si="7"/>
        <v>-568161.34678290912</v>
      </c>
      <c r="C65" s="138">
        <f t="shared" si="7"/>
        <v>-0.16990864924999999</v>
      </c>
      <c r="D65" s="179"/>
      <c r="E65" s="189"/>
      <c r="F65" s="134"/>
      <c r="G65" s="179"/>
      <c r="H65" s="189"/>
      <c r="I65" s="134"/>
      <c r="J65" s="179"/>
      <c r="K65" s="189"/>
      <c r="L65" s="255"/>
      <c r="M65" s="67"/>
      <c r="N65" s="32" t="s">
        <v>8</v>
      </c>
      <c r="O65" s="16">
        <v>-521.05269188600005</v>
      </c>
      <c r="P65" s="16"/>
      <c r="Q65" s="16"/>
    </row>
    <row r="66" spans="1:21" ht="14.25" thickBot="1" x14ac:dyDescent="0.2">
      <c r="A66" s="91"/>
      <c r="B66" s="119"/>
      <c r="C66" s="139"/>
      <c r="D66" s="179"/>
      <c r="E66" s="189"/>
      <c r="F66" s="134"/>
      <c r="G66" s="179"/>
      <c r="H66" s="189"/>
      <c r="I66" s="134"/>
      <c r="J66" s="179"/>
      <c r="K66" s="189"/>
      <c r="L66" s="255"/>
      <c r="M66" s="68"/>
      <c r="N66" s="32" t="s">
        <v>9</v>
      </c>
      <c r="O66" s="16"/>
      <c r="P66" s="16"/>
      <c r="Q66" s="16"/>
    </row>
    <row r="67" spans="1:21" x14ac:dyDescent="0.15">
      <c r="A67" s="42" t="str">
        <f t="shared" si="7"/>
        <v>MBD</v>
      </c>
      <c r="B67" s="43" t="str">
        <f t="shared" si="7"/>
        <v>PBE</v>
      </c>
      <c r="C67" s="60" t="str">
        <f t="shared" si="7"/>
        <v>TS</v>
      </c>
      <c r="D67" s="179">
        <f>O5</f>
        <v>-0.42958807249999997</v>
      </c>
      <c r="E67" s="189">
        <f>P5</f>
        <v>-568159.27279550501</v>
      </c>
      <c r="F67" s="134">
        <f>Q5</f>
        <v>-0.29545744750000003</v>
      </c>
      <c r="G67" s="227">
        <f>-8.96632092</f>
        <v>-8.9663209199999994</v>
      </c>
      <c r="H67" s="236">
        <f>-9588120.28824806+8.96632092</f>
        <v>-9588111.3219271395</v>
      </c>
      <c r="I67" s="238">
        <f>-8.771923755</f>
        <v>-8.7719237549999995</v>
      </c>
      <c r="J67" s="179">
        <f>J37</f>
        <v>-8.9407424599999992</v>
      </c>
      <c r="K67" s="189">
        <f>K37</f>
        <v>-9213597.5541339312</v>
      </c>
      <c r="L67" s="255">
        <f>L37</f>
        <v>-8.8183975179999994</v>
      </c>
      <c r="M67" s="66">
        <f>H70+1.68514</f>
        <v>5.7461761270069243</v>
      </c>
      <c r="N67" s="32" t="s">
        <v>11</v>
      </c>
      <c r="O67" s="16">
        <v>-837.77903000900005</v>
      </c>
      <c r="P67" s="16"/>
      <c r="Q67" s="16"/>
    </row>
    <row r="68" spans="1:21" x14ac:dyDescent="0.15">
      <c r="A68" s="92">
        <f t="shared" si="7"/>
        <v>-0.42958807249999997</v>
      </c>
      <c r="B68" s="114">
        <f t="shared" si="7"/>
        <v>-568159.27279550501</v>
      </c>
      <c r="C68" s="134">
        <f t="shared" si="7"/>
        <v>-0.29545744750000003</v>
      </c>
      <c r="D68" s="179"/>
      <c r="E68" s="189"/>
      <c r="F68" s="134"/>
      <c r="G68" s="227"/>
      <c r="H68" s="236"/>
      <c r="I68" s="238"/>
      <c r="J68" s="179"/>
      <c r="K68" s="189"/>
      <c r="L68" s="255"/>
      <c r="M68" s="67"/>
      <c r="N68" s="33" t="s">
        <v>21</v>
      </c>
      <c r="O68" s="16"/>
      <c r="P68" s="16"/>
      <c r="Q68" s="16"/>
    </row>
    <row r="69" spans="1:21" ht="14.25" thickBot="1" x14ac:dyDescent="0.2">
      <c r="A69" s="93"/>
      <c r="B69" s="115"/>
      <c r="C69" s="135"/>
      <c r="D69" s="180"/>
      <c r="E69" s="190"/>
      <c r="F69" s="214"/>
      <c r="G69" s="228"/>
      <c r="H69" s="237"/>
      <c r="I69" s="243"/>
      <c r="J69" s="180"/>
      <c r="K69" s="190"/>
      <c r="L69" s="273"/>
      <c r="M69" s="68"/>
    </row>
    <row r="70" spans="1:21" ht="14.25" thickBot="1" x14ac:dyDescent="0.2">
      <c r="A70" s="108" t="s">
        <v>90</v>
      </c>
      <c r="B70" s="121">
        <f>E70+H70</f>
        <v>4.0711187507569235</v>
      </c>
      <c r="C70" s="122"/>
      <c r="D70" s="178" t="s">
        <v>12</v>
      </c>
      <c r="E70" s="194">
        <f>G67-J67-A65+A23</f>
        <v>1.0082623749999742E-2</v>
      </c>
      <c r="F70" s="195"/>
      <c r="G70" s="229" t="s">
        <v>13</v>
      </c>
      <c r="H70" s="194">
        <f>H67-K67-B65+B23+(1)*(-5.76431)</f>
        <v>4.0610361270069237</v>
      </c>
      <c r="I70" s="195"/>
      <c r="J70" s="229" t="s">
        <v>14</v>
      </c>
      <c r="K70" s="194">
        <f>I67-L67-C65+C23+H70</f>
        <v>4.0663791792569235</v>
      </c>
      <c r="L70" s="276"/>
      <c r="M70" s="69">
        <f>K70+1.68514</f>
        <v>5.751519179256924</v>
      </c>
    </row>
    <row r="71" spans="1:21" x14ac:dyDescent="0.15">
      <c r="A71" s="97"/>
      <c r="B71" s="123"/>
      <c r="C71" s="124"/>
      <c r="D71" s="123"/>
      <c r="E71" s="123"/>
      <c r="F71" s="124"/>
      <c r="G71" s="124"/>
      <c r="H71" s="123"/>
      <c r="I71" s="124"/>
      <c r="J71" s="124"/>
      <c r="K71" s="123"/>
      <c r="L71" s="268"/>
      <c r="M71" s="70"/>
      <c r="N71" s="274" t="s">
        <v>50</v>
      </c>
      <c r="O71" s="274" t="s">
        <v>51</v>
      </c>
      <c r="P71" s="283" t="s">
        <v>52</v>
      </c>
      <c r="Q71" s="283"/>
      <c r="R71" s="274" t="s">
        <v>51</v>
      </c>
      <c r="S71" s="274" t="s">
        <v>52</v>
      </c>
      <c r="T71" s="294" t="s">
        <v>53</v>
      </c>
      <c r="U71" s="294" t="s">
        <v>54</v>
      </c>
    </row>
    <row r="72" spans="1:21" ht="14.25" thickBot="1" x14ac:dyDescent="0.2">
      <c r="A72" s="98"/>
      <c r="B72" s="125"/>
      <c r="C72" s="126"/>
      <c r="D72" s="125"/>
      <c r="E72" s="125"/>
      <c r="F72" s="126"/>
      <c r="G72" s="126"/>
      <c r="H72" s="125"/>
      <c r="I72" s="126"/>
      <c r="J72" s="126"/>
      <c r="K72" s="125"/>
      <c r="L72" s="269"/>
      <c r="M72" s="71"/>
      <c r="N72" s="275"/>
      <c r="O72" s="275"/>
      <c r="P72" s="284"/>
      <c r="Q72" s="284"/>
      <c r="R72" s="275"/>
      <c r="S72" s="275"/>
      <c r="T72" s="295"/>
      <c r="U72" s="295"/>
    </row>
    <row r="73" spans="1:21" x14ac:dyDescent="0.15">
      <c r="A73" s="109" t="s">
        <v>91</v>
      </c>
      <c r="B73" s="121">
        <f>E73+H73</f>
        <v>1.2582597458308824</v>
      </c>
      <c r="C73" s="121"/>
      <c r="D73" s="171" t="s">
        <v>15</v>
      </c>
      <c r="E73" s="121">
        <f>G67-J67-D67+A20</f>
        <v>0.30820472499999979</v>
      </c>
      <c r="F73" s="122"/>
      <c r="G73" s="171" t="s">
        <v>16</v>
      </c>
      <c r="H73" s="121">
        <f>H67-K67-E67+B20+(1)*(-5.76431)</f>
        <v>0.95005502083088267</v>
      </c>
      <c r="I73" s="122"/>
      <c r="J73" s="220" t="s">
        <v>17</v>
      </c>
      <c r="K73" s="121">
        <f>I67-L67-F67+C20+H73</f>
        <v>1.1437212704558826</v>
      </c>
      <c r="L73" s="267"/>
      <c r="M73" s="69">
        <f>K73+1.68514</f>
        <v>2.8288612704558824</v>
      </c>
      <c r="N73" s="275"/>
      <c r="O73" s="275"/>
      <c r="P73" s="284"/>
      <c r="Q73" s="285"/>
      <c r="R73" s="275"/>
      <c r="S73" s="275"/>
      <c r="T73" s="295"/>
      <c r="U73" s="295"/>
    </row>
    <row r="74" spans="1:21" x14ac:dyDescent="0.15">
      <c r="A74" s="100"/>
      <c r="B74" s="123"/>
      <c r="C74" s="123"/>
      <c r="D74" s="123"/>
      <c r="E74" s="123"/>
      <c r="F74" s="124"/>
      <c r="G74" s="123"/>
      <c r="H74" s="123"/>
      <c r="I74" s="124"/>
      <c r="J74" s="124"/>
      <c r="K74" s="123"/>
      <c r="L74" s="268"/>
      <c r="M74" s="70"/>
      <c r="N74" s="275" t="s">
        <v>55</v>
      </c>
      <c r="O74" s="280">
        <f>H13</f>
        <v>3.3323345781357583</v>
      </c>
      <c r="P74" s="172">
        <f>H10</f>
        <v>4.3693282801944386</v>
      </c>
      <c r="Q74" s="286">
        <f>P74-O74</f>
        <v>1.0369937020586804</v>
      </c>
      <c r="R74" s="289">
        <v>2.69</v>
      </c>
      <c r="S74" s="172">
        <v>0.47</v>
      </c>
      <c r="T74" s="296">
        <f>O74-R74</f>
        <v>0.64233457813575834</v>
      </c>
      <c r="U74" s="296">
        <f>P74-S74</f>
        <v>3.8993282801944389</v>
      </c>
    </row>
    <row r="75" spans="1:21" ht="14.25" thickBot="1" x14ac:dyDescent="0.2">
      <c r="A75" s="110"/>
      <c r="B75" s="127"/>
      <c r="C75" s="127"/>
      <c r="D75" s="125"/>
      <c r="E75" s="125"/>
      <c r="F75" s="126"/>
      <c r="G75" s="125"/>
      <c r="H75" s="125"/>
      <c r="I75" s="126"/>
      <c r="J75" s="126"/>
      <c r="K75" s="125"/>
      <c r="L75" s="269"/>
      <c r="M75" s="71"/>
      <c r="N75" s="275"/>
      <c r="O75" s="280"/>
      <c r="P75" s="172"/>
      <c r="Q75" s="287"/>
      <c r="R75" s="289"/>
      <c r="S75" s="172"/>
      <c r="T75" s="296"/>
      <c r="U75" s="296"/>
    </row>
    <row r="76" spans="1:21" x14ac:dyDescent="0.15">
      <c r="A76" s="128" t="s">
        <v>94</v>
      </c>
      <c r="B76" s="129"/>
      <c r="C76" s="129"/>
      <c r="D76" s="196" t="s">
        <v>19</v>
      </c>
      <c r="E76" s="197"/>
      <c r="F76" s="198"/>
      <c r="G76" s="240" t="s">
        <v>106</v>
      </c>
      <c r="H76" s="197"/>
      <c r="I76" s="198"/>
      <c r="J76" s="196" t="s">
        <v>89</v>
      </c>
      <c r="K76" s="197"/>
      <c r="L76" s="270"/>
      <c r="M76" s="63" t="s">
        <v>135</v>
      </c>
      <c r="N76" s="275"/>
      <c r="O76" s="280"/>
      <c r="P76" s="173"/>
      <c r="Q76" s="287"/>
      <c r="R76" s="289"/>
      <c r="S76" s="172"/>
      <c r="T76" s="296"/>
      <c r="U76" s="296"/>
    </row>
    <row r="77" spans="1:21" x14ac:dyDescent="0.15">
      <c r="A77" s="130"/>
      <c r="B77" s="131"/>
      <c r="C77" s="131"/>
      <c r="D77" s="199"/>
      <c r="E77" s="200"/>
      <c r="F77" s="201"/>
      <c r="G77" s="199"/>
      <c r="H77" s="200"/>
      <c r="I77" s="201"/>
      <c r="J77" s="199"/>
      <c r="K77" s="200"/>
      <c r="L77" s="271"/>
      <c r="M77" s="64"/>
      <c r="N77" s="275" t="s">
        <v>56</v>
      </c>
      <c r="O77" s="172">
        <f>H25</f>
        <v>3.8108589988153145</v>
      </c>
      <c r="P77" s="172">
        <f>H28</f>
        <v>1.7368715946979538</v>
      </c>
      <c r="Q77" s="286">
        <f>O77-P77</f>
        <v>2.0739874041173607</v>
      </c>
      <c r="R77" s="289">
        <v>0.87</v>
      </c>
      <c r="S77" s="172">
        <v>2.04</v>
      </c>
      <c r="T77" s="296">
        <f>O77-R77</f>
        <v>2.9408589988153144</v>
      </c>
      <c r="U77" s="296">
        <f>P77-S77</f>
        <v>-0.30312840530204621</v>
      </c>
    </row>
    <row r="78" spans="1:21" ht="14.25" thickBot="1" x14ac:dyDescent="0.2">
      <c r="A78" s="130"/>
      <c r="B78" s="131"/>
      <c r="C78" s="131"/>
      <c r="D78" s="202"/>
      <c r="E78" s="203"/>
      <c r="F78" s="204"/>
      <c r="G78" s="202"/>
      <c r="H78" s="203"/>
      <c r="I78" s="204"/>
      <c r="J78" s="202"/>
      <c r="K78" s="203"/>
      <c r="L78" s="272"/>
      <c r="M78" s="65"/>
      <c r="N78" s="172"/>
      <c r="O78" s="172"/>
      <c r="P78" s="172"/>
      <c r="Q78" s="287"/>
      <c r="R78" s="289"/>
      <c r="S78" s="172"/>
      <c r="T78" s="296"/>
      <c r="U78" s="296"/>
    </row>
    <row r="79" spans="1:21" x14ac:dyDescent="0.15">
      <c r="A79" s="40" t="str">
        <f t="shared" ref="A79:C83" si="8">A19</f>
        <v>MBD</v>
      </c>
      <c r="B79" s="41" t="str">
        <f t="shared" si="8"/>
        <v>PBE</v>
      </c>
      <c r="C79" s="62" t="str">
        <f t="shared" si="8"/>
        <v>TS</v>
      </c>
      <c r="D79" s="181" t="s">
        <v>3</v>
      </c>
      <c r="E79" s="191" t="s">
        <v>4</v>
      </c>
      <c r="F79" s="215" t="s">
        <v>5</v>
      </c>
      <c r="G79" s="179" t="s">
        <v>3</v>
      </c>
      <c r="H79" s="189" t="s">
        <v>4</v>
      </c>
      <c r="I79" s="134" t="s">
        <v>5</v>
      </c>
      <c r="J79" s="179" t="s">
        <v>3</v>
      </c>
      <c r="K79" s="189" t="s">
        <v>4</v>
      </c>
      <c r="L79" s="255" t="s">
        <v>5</v>
      </c>
      <c r="M79" s="66">
        <f>B85-1.68514</f>
        <v>2.6785828882686356</v>
      </c>
      <c r="N79" s="172"/>
      <c r="O79" s="172"/>
      <c r="P79" s="173"/>
      <c r="Q79" s="287"/>
      <c r="R79" s="289"/>
      <c r="S79" s="172"/>
      <c r="T79" s="296"/>
      <c r="U79" s="296"/>
    </row>
    <row r="80" spans="1:21" x14ac:dyDescent="0.15">
      <c r="A80" s="91">
        <f t="shared" si="8"/>
        <v>-9.5804887499999977E-2</v>
      </c>
      <c r="B80" s="119">
        <f t="shared" si="8"/>
        <v>-193638.79063727582</v>
      </c>
      <c r="C80" s="169">
        <f t="shared" si="8"/>
        <v>-0.14826496087499999</v>
      </c>
      <c r="D80" s="182"/>
      <c r="E80" s="192"/>
      <c r="F80" s="216"/>
      <c r="G80" s="179"/>
      <c r="H80" s="189"/>
      <c r="I80" s="134"/>
      <c r="J80" s="179"/>
      <c r="K80" s="189"/>
      <c r="L80" s="255"/>
      <c r="M80" s="67"/>
      <c r="N80" s="275" t="s">
        <v>57</v>
      </c>
      <c r="O80" s="172">
        <f>H25</f>
        <v>3.8108589988153145</v>
      </c>
      <c r="P80" s="288">
        <f>H28</f>
        <v>1.7368715946979538</v>
      </c>
      <c r="Q80" s="286">
        <f>O80-P80</f>
        <v>2.0739874041173607</v>
      </c>
      <c r="R80" s="289">
        <v>0.85</v>
      </c>
      <c r="S80" s="172">
        <v>2.0499999999999998</v>
      </c>
      <c r="T80" s="296">
        <f>O80-R80</f>
        <v>2.9608589988153144</v>
      </c>
      <c r="U80" s="296">
        <f>P80-S80</f>
        <v>-0.313128405302046</v>
      </c>
    </row>
    <row r="81" spans="1:21" ht="14.25" thickBot="1" x14ac:dyDescent="0.2">
      <c r="A81" s="111"/>
      <c r="B81" s="120"/>
      <c r="C81" s="170"/>
      <c r="D81" s="183"/>
      <c r="E81" s="193"/>
      <c r="F81" s="217"/>
      <c r="G81" s="181"/>
      <c r="H81" s="191"/>
      <c r="I81" s="135"/>
      <c r="J81" s="181"/>
      <c r="K81" s="191"/>
      <c r="L81" s="215"/>
      <c r="M81" s="68"/>
      <c r="N81" s="275"/>
      <c r="O81" s="172"/>
      <c r="P81" s="172"/>
      <c r="Q81" s="287"/>
      <c r="R81" s="289"/>
      <c r="S81" s="172"/>
      <c r="T81" s="296"/>
      <c r="U81" s="296"/>
    </row>
    <row r="82" spans="1:21" x14ac:dyDescent="0.15">
      <c r="A82" s="42" t="str">
        <f t="shared" si="8"/>
        <v>MBD</v>
      </c>
      <c r="B82" s="43" t="str">
        <f t="shared" si="8"/>
        <v>PBE</v>
      </c>
      <c r="C82" s="60" t="str">
        <f t="shared" si="8"/>
        <v>TS</v>
      </c>
      <c r="D82" s="184">
        <f>D22</f>
        <v>-0.19517892125</v>
      </c>
      <c r="E82" s="134">
        <f>E22</f>
        <v>-193637.75364357376</v>
      </c>
      <c r="F82" s="134">
        <f>F22</f>
        <v>-0.21103936000000001</v>
      </c>
      <c r="G82" s="230">
        <f>-8.91287657</f>
        <v>-8.9128765699999999</v>
      </c>
      <c r="H82" s="238">
        <f>-8839087.14290209+8.91287657</f>
        <v>-8839078.2300255187</v>
      </c>
      <c r="I82" s="238">
        <f>-8.800878174</f>
        <v>-8.8008781739999993</v>
      </c>
      <c r="J82" s="179">
        <f>J67</f>
        <v>-8.9407424599999992</v>
      </c>
      <c r="K82" s="189">
        <f>K67</f>
        <v>-9213597.5541339312</v>
      </c>
      <c r="L82" s="255">
        <f>L67</f>
        <v>-8.8183975179999994</v>
      </c>
      <c r="M82" s="66">
        <f>H85-1.68514</f>
        <v>2.984500183268636</v>
      </c>
      <c r="N82" s="275"/>
      <c r="O82" s="172"/>
      <c r="P82" s="172"/>
      <c r="Q82" s="287"/>
      <c r="R82" s="289"/>
      <c r="S82" s="172"/>
      <c r="T82" s="296"/>
      <c r="U82" s="296"/>
    </row>
    <row r="83" spans="1:21" x14ac:dyDescent="0.15">
      <c r="A83" s="92">
        <f t="shared" si="8"/>
        <v>-0.19517892125</v>
      </c>
      <c r="B83" s="114">
        <f t="shared" si="8"/>
        <v>-193637.75364357376</v>
      </c>
      <c r="C83" s="134">
        <f t="shared" si="8"/>
        <v>-0.21103936000000001</v>
      </c>
      <c r="D83" s="184"/>
      <c r="E83" s="134"/>
      <c r="F83" s="134"/>
      <c r="G83" s="230"/>
      <c r="H83" s="238"/>
      <c r="I83" s="238"/>
      <c r="J83" s="179"/>
      <c r="K83" s="189"/>
      <c r="L83" s="255"/>
      <c r="M83" s="67"/>
      <c r="N83" s="275" t="s">
        <v>58</v>
      </c>
      <c r="O83" s="172">
        <f>H43</f>
        <v>2.0279890843437611</v>
      </c>
      <c r="P83" s="172">
        <f>H40</f>
        <v>0.99099538228508077</v>
      </c>
      <c r="Q83" s="286">
        <f>P83-O83</f>
        <v>-1.0369937020586804</v>
      </c>
      <c r="R83" s="289">
        <v>1.91</v>
      </c>
      <c r="S83" s="172">
        <v>0.62</v>
      </c>
      <c r="T83" s="296">
        <f>O83-R83</f>
        <v>0.11798908434376121</v>
      </c>
      <c r="U83" s="296">
        <f>P83-S83</f>
        <v>0.37099538228508078</v>
      </c>
    </row>
    <row r="84" spans="1:21" ht="14.25" thickBot="1" x14ac:dyDescent="0.2">
      <c r="A84" s="93"/>
      <c r="B84" s="115"/>
      <c r="C84" s="135"/>
      <c r="D84" s="185"/>
      <c r="E84" s="135"/>
      <c r="F84" s="135"/>
      <c r="G84" s="231"/>
      <c r="H84" s="239"/>
      <c r="I84" s="239"/>
      <c r="J84" s="181"/>
      <c r="K84" s="191"/>
      <c r="L84" s="215"/>
      <c r="M84" s="68"/>
      <c r="N84" s="275"/>
      <c r="O84" s="172"/>
      <c r="P84" s="172"/>
      <c r="Q84" s="287"/>
      <c r="R84" s="289"/>
      <c r="S84" s="172"/>
      <c r="T84" s="296"/>
      <c r="U84" s="296"/>
    </row>
    <row r="85" spans="1:21" x14ac:dyDescent="0.15">
      <c r="A85" s="108" t="s">
        <v>95</v>
      </c>
      <c r="B85" s="121">
        <f>E85+H85</f>
        <v>4.3637228882686356</v>
      </c>
      <c r="C85" s="122"/>
      <c r="D85" s="171" t="s">
        <v>27</v>
      </c>
      <c r="E85" s="121">
        <f>G82-J82-A80+A8</f>
        <v>-0.3059172950000007</v>
      </c>
      <c r="F85" s="122"/>
      <c r="G85" s="220" t="s">
        <v>28</v>
      </c>
      <c r="H85" s="121">
        <f>H82-K82-B80+B8+(-1)*(-5.82769)</f>
        <v>4.6696401832686361</v>
      </c>
      <c r="I85" s="122"/>
      <c r="J85" s="220" t="s">
        <v>29</v>
      </c>
      <c r="K85" s="121">
        <f>I82-L82-C80+C68+H85</f>
        <v>4.5399670406436359</v>
      </c>
      <c r="L85" s="267"/>
      <c r="M85" s="69">
        <f>K85-1.68514</f>
        <v>2.8548270406436358</v>
      </c>
      <c r="N85" s="275"/>
      <c r="O85" s="172"/>
      <c r="P85" s="172"/>
      <c r="Q85" s="287"/>
      <c r="R85" s="289"/>
      <c r="S85" s="172"/>
      <c r="T85" s="296"/>
      <c r="U85" s="296"/>
    </row>
    <row r="86" spans="1:21" x14ac:dyDescent="0.15">
      <c r="A86" s="97"/>
      <c r="B86" s="123"/>
      <c r="C86" s="124"/>
      <c r="D86" s="123"/>
      <c r="E86" s="123"/>
      <c r="F86" s="124"/>
      <c r="G86" s="124"/>
      <c r="H86" s="123"/>
      <c r="I86" s="124"/>
      <c r="J86" s="124"/>
      <c r="K86" s="123"/>
      <c r="L86" s="268"/>
      <c r="M86" s="70"/>
      <c r="N86" s="275" t="s">
        <v>59</v>
      </c>
      <c r="O86" s="172">
        <f>H58</f>
        <v>1.021214472992523</v>
      </c>
      <c r="P86" s="172">
        <f>H40</f>
        <v>0.99099538228508077</v>
      </c>
      <c r="Q86" s="286">
        <f>P86-O86</f>
        <v>-3.021909070744222E-2</v>
      </c>
      <c r="R86" s="289">
        <v>1.1200000000000001</v>
      </c>
      <c r="S86" s="172">
        <v>2.4300000000000002</v>
      </c>
      <c r="T86" s="290"/>
      <c r="U86" s="290"/>
    </row>
    <row r="87" spans="1:21" ht="14.25" thickBot="1" x14ac:dyDescent="0.2">
      <c r="A87" s="98"/>
      <c r="B87" s="125"/>
      <c r="C87" s="126"/>
      <c r="D87" s="125"/>
      <c r="E87" s="125"/>
      <c r="F87" s="126"/>
      <c r="G87" s="126"/>
      <c r="H87" s="125"/>
      <c r="I87" s="126"/>
      <c r="J87" s="126"/>
      <c r="K87" s="125"/>
      <c r="L87" s="269"/>
      <c r="M87" s="71"/>
      <c r="N87" s="275"/>
      <c r="O87" s="172"/>
      <c r="P87" s="172"/>
      <c r="Q87" s="287"/>
      <c r="R87" s="289"/>
      <c r="S87" s="172"/>
      <c r="T87" s="290"/>
      <c r="U87" s="290"/>
    </row>
    <row r="88" spans="1:21" x14ac:dyDescent="0.15">
      <c r="A88" s="109" t="s">
        <v>96</v>
      </c>
      <c r="B88" s="121">
        <f>E88+H88</f>
        <v>1.5508638833425943</v>
      </c>
      <c r="C88" s="121"/>
      <c r="D88" s="171" t="s">
        <v>33</v>
      </c>
      <c r="E88" s="121">
        <f>G82-J82-D82+A5</f>
        <v>-7.7951937500006507E-3</v>
      </c>
      <c r="F88" s="122"/>
      <c r="G88" s="171" t="s">
        <v>34</v>
      </c>
      <c r="H88" s="121">
        <f>H82-K82-E82+B5+(-1)*(-5.82769)</f>
        <v>1.558659077092595</v>
      </c>
      <c r="I88" s="122"/>
      <c r="J88" s="220" t="s">
        <v>35</v>
      </c>
      <c r="K88" s="121">
        <f>I82-L82-F82+C65+H88</f>
        <v>1.6173091318425952</v>
      </c>
      <c r="L88" s="267"/>
      <c r="M88" s="69">
        <f>K88-1.68514</f>
        <v>-6.7830868157404911E-2</v>
      </c>
      <c r="N88" s="275"/>
      <c r="O88" s="172"/>
      <c r="P88" s="173"/>
      <c r="Q88" s="287"/>
      <c r="R88" s="289"/>
      <c r="S88" s="173"/>
      <c r="T88" s="290"/>
      <c r="U88" s="290"/>
    </row>
    <row r="89" spans="1:21" x14ac:dyDescent="0.15">
      <c r="A89" s="100"/>
      <c r="B89" s="123"/>
      <c r="C89" s="123"/>
      <c r="D89" s="123"/>
      <c r="E89" s="123"/>
      <c r="F89" s="124"/>
      <c r="G89" s="123"/>
      <c r="H89" s="123"/>
      <c r="I89" s="124"/>
      <c r="J89" s="124"/>
      <c r="K89" s="123"/>
      <c r="L89" s="268"/>
      <c r="M89" s="70"/>
      <c r="N89" s="275" t="s">
        <v>60</v>
      </c>
      <c r="O89" s="280">
        <f>H13</f>
        <v>3.3323345781357583</v>
      </c>
      <c r="P89" s="280">
        <f>H10</f>
        <v>4.3693282801944386</v>
      </c>
      <c r="Q89" s="286">
        <f>P89-O89</f>
        <v>1.0369937020586804</v>
      </c>
      <c r="R89" s="289">
        <v>1.05</v>
      </c>
      <c r="S89" s="172">
        <v>3.27</v>
      </c>
      <c r="T89" s="290"/>
      <c r="U89" s="290"/>
    </row>
    <row r="90" spans="1:21" ht="14.25" thickBot="1" x14ac:dyDescent="0.2">
      <c r="A90" s="110"/>
      <c r="B90" s="127"/>
      <c r="C90" s="127"/>
      <c r="D90" s="127"/>
      <c r="E90" s="127"/>
      <c r="F90" s="205"/>
      <c r="G90" s="127"/>
      <c r="H90" s="127"/>
      <c r="I90" s="205"/>
      <c r="J90" s="205"/>
      <c r="K90" s="127"/>
      <c r="L90" s="277"/>
      <c r="M90" s="71"/>
      <c r="N90" s="275"/>
      <c r="O90" s="280"/>
      <c r="P90" s="280"/>
      <c r="Q90" s="287"/>
      <c r="R90" s="289"/>
      <c r="S90" s="172"/>
      <c r="T90" s="290"/>
      <c r="U90" s="290"/>
    </row>
    <row r="91" spans="1:21" ht="13.5" customHeight="1" x14ac:dyDescent="0.15">
      <c r="A91" s="128" t="s">
        <v>18</v>
      </c>
      <c r="B91" s="300"/>
      <c r="C91" s="300"/>
      <c r="D91" s="303" t="s">
        <v>19</v>
      </c>
      <c r="E91" s="304"/>
      <c r="F91" s="305"/>
      <c r="G91" s="308" t="s">
        <v>88</v>
      </c>
      <c r="H91" s="304"/>
      <c r="I91" s="305"/>
      <c r="J91" s="303" t="s">
        <v>1</v>
      </c>
      <c r="K91" s="304"/>
      <c r="L91" s="306"/>
      <c r="M91" s="75" t="s">
        <v>135</v>
      </c>
      <c r="N91" s="275"/>
      <c r="O91" s="280"/>
      <c r="P91" s="280"/>
      <c r="Q91" s="287"/>
      <c r="R91" s="289"/>
      <c r="S91" s="172"/>
      <c r="T91" s="290"/>
      <c r="U91" s="290"/>
    </row>
    <row r="92" spans="1:21" ht="13.5" customHeight="1" x14ac:dyDescent="0.15">
      <c r="A92" s="301"/>
      <c r="B92" s="302"/>
      <c r="C92" s="302"/>
      <c r="D92" s="152"/>
      <c r="E92" s="153"/>
      <c r="F92" s="154"/>
      <c r="G92" s="152"/>
      <c r="H92" s="153"/>
      <c r="I92" s="154"/>
      <c r="J92" s="152"/>
      <c r="K92" s="153"/>
      <c r="L92" s="260"/>
      <c r="M92" s="76"/>
      <c r="N92" s="275" t="s">
        <v>61</v>
      </c>
      <c r="O92" s="280">
        <f>H25</f>
        <v>3.8108589988153145</v>
      </c>
      <c r="P92" s="281">
        <f>H28</f>
        <v>1.7368715946979538</v>
      </c>
      <c r="Q92" s="286">
        <f>O92-P92</f>
        <v>2.0739874041173607</v>
      </c>
      <c r="R92" s="289">
        <v>1.75</v>
      </c>
      <c r="S92" s="288">
        <v>0.56999999999999995</v>
      </c>
      <c r="T92" s="290"/>
      <c r="U92" s="290"/>
    </row>
    <row r="93" spans="1:21" ht="14.25" customHeight="1" thickBot="1" x14ac:dyDescent="0.2">
      <c r="A93" s="301"/>
      <c r="B93" s="302"/>
      <c r="C93" s="302"/>
      <c r="D93" s="155"/>
      <c r="E93" s="156"/>
      <c r="F93" s="157"/>
      <c r="G93" s="155"/>
      <c r="H93" s="156"/>
      <c r="I93" s="157"/>
      <c r="J93" s="155"/>
      <c r="K93" s="156"/>
      <c r="L93" s="307"/>
      <c r="M93" s="77"/>
      <c r="N93" s="275"/>
      <c r="O93" s="280"/>
      <c r="P93" s="280"/>
      <c r="Q93" s="287"/>
      <c r="R93" s="289"/>
      <c r="S93" s="172"/>
      <c r="T93" s="290"/>
      <c r="U93" s="290"/>
    </row>
    <row r="94" spans="1:21" x14ac:dyDescent="0.15">
      <c r="A94" s="2" t="str">
        <f t="shared" ref="A94:C98" si="9">A19</f>
        <v>MBD</v>
      </c>
      <c r="B94" s="3" t="str">
        <f t="shared" si="9"/>
        <v>PBE</v>
      </c>
      <c r="C94" s="59" t="str">
        <f t="shared" si="9"/>
        <v>TS</v>
      </c>
      <c r="D94" s="314" t="str">
        <f t="shared" ref="D94:F97" si="10">D19</f>
        <v>MBD</v>
      </c>
      <c r="E94" s="316" t="str">
        <f t="shared" si="10"/>
        <v>PBE</v>
      </c>
      <c r="F94" s="136" t="str">
        <f t="shared" si="10"/>
        <v>TS</v>
      </c>
      <c r="G94" s="314" t="s">
        <v>3</v>
      </c>
      <c r="H94" s="316" t="s">
        <v>4</v>
      </c>
      <c r="I94" s="136" t="s">
        <v>5</v>
      </c>
      <c r="J94" s="314" t="str">
        <f t="shared" ref="J94:L97" si="11">J19</f>
        <v>MBD</v>
      </c>
      <c r="K94" s="316" t="str">
        <f t="shared" si="11"/>
        <v>PBE</v>
      </c>
      <c r="L94" s="251" t="str">
        <f t="shared" si="11"/>
        <v>TS</v>
      </c>
      <c r="M94" s="66">
        <f>B100-2*1.68514</f>
        <v>1.1995863733594243</v>
      </c>
      <c r="N94" s="275"/>
      <c r="O94" s="280"/>
      <c r="P94" s="280"/>
      <c r="Q94" s="287"/>
      <c r="R94" s="289"/>
      <c r="S94" s="172"/>
      <c r="T94" s="290"/>
      <c r="U94" s="290"/>
    </row>
    <row r="95" spans="1:21" x14ac:dyDescent="0.15">
      <c r="A95" s="95">
        <f t="shared" si="9"/>
        <v>-9.5804887499999977E-2</v>
      </c>
      <c r="B95" s="113">
        <f t="shared" si="9"/>
        <v>-193638.79063727582</v>
      </c>
      <c r="C95" s="320">
        <f t="shared" si="9"/>
        <v>-0.14826496087499999</v>
      </c>
      <c r="D95" s="314"/>
      <c r="E95" s="316"/>
      <c r="F95" s="136"/>
      <c r="G95" s="314"/>
      <c r="H95" s="316"/>
      <c r="I95" s="136"/>
      <c r="J95" s="314"/>
      <c r="K95" s="316"/>
      <c r="L95" s="251"/>
      <c r="M95" s="67"/>
      <c r="N95" s="275" t="s">
        <v>62</v>
      </c>
      <c r="O95" s="172"/>
      <c r="P95" s="172"/>
      <c r="Q95" s="286"/>
      <c r="R95" s="289" t="s">
        <v>63</v>
      </c>
      <c r="S95" s="172" t="s">
        <v>64</v>
      </c>
      <c r="T95" s="290"/>
      <c r="U95" s="290"/>
    </row>
    <row r="96" spans="1:21" ht="14.25" thickBot="1" x14ac:dyDescent="0.2">
      <c r="A96" s="318"/>
      <c r="B96" s="319"/>
      <c r="C96" s="321"/>
      <c r="D96" s="315"/>
      <c r="E96" s="317"/>
      <c r="F96" s="137"/>
      <c r="G96" s="315"/>
      <c r="H96" s="317"/>
      <c r="I96" s="137"/>
      <c r="J96" s="315"/>
      <c r="K96" s="317"/>
      <c r="L96" s="252"/>
      <c r="M96" s="68"/>
      <c r="N96" s="275"/>
      <c r="O96" s="172"/>
      <c r="P96" s="172"/>
      <c r="Q96" s="287"/>
      <c r="R96" s="289"/>
      <c r="S96" s="172"/>
      <c r="T96" s="290"/>
      <c r="U96" s="290"/>
    </row>
    <row r="97" spans="1:21" x14ac:dyDescent="0.15">
      <c r="A97" s="4" t="str">
        <f t="shared" si="9"/>
        <v>MBD</v>
      </c>
      <c r="B97" s="5" t="str">
        <f t="shared" si="9"/>
        <v>PBE</v>
      </c>
      <c r="C97" s="61" t="str">
        <f t="shared" si="9"/>
        <v>TS</v>
      </c>
      <c r="D97" s="322">
        <f t="shared" si="10"/>
        <v>-0.19517892125</v>
      </c>
      <c r="E97" s="136">
        <f t="shared" si="10"/>
        <v>-193637.75364357376</v>
      </c>
      <c r="F97" s="136">
        <f t="shared" si="10"/>
        <v>-0.21103936000000001</v>
      </c>
      <c r="G97" s="230">
        <f>-8.82449656</f>
        <v>-8.82449656</v>
      </c>
      <c r="H97" s="238">
        <f>-9404628.0672827+8.82449656</f>
        <v>-9404619.2427861411</v>
      </c>
      <c r="I97" s="238">
        <f>-8.754451852</f>
        <v>-8.7544518520000008</v>
      </c>
      <c r="J97" s="227">
        <f t="shared" si="11"/>
        <v>-8.9407424599999992</v>
      </c>
      <c r="K97" s="227">
        <f t="shared" si="11"/>
        <v>-9213597.5541339312</v>
      </c>
      <c r="L97" s="253">
        <f t="shared" si="11"/>
        <v>-8.8183975179999994</v>
      </c>
      <c r="M97" s="66">
        <f>H100-2*1.68514</f>
        <v>1.3881256583594253</v>
      </c>
      <c r="N97" s="282"/>
      <c r="O97" s="172"/>
      <c r="P97" s="173"/>
      <c r="Q97" s="287"/>
      <c r="R97" s="289"/>
      <c r="S97" s="173"/>
      <c r="T97" s="290"/>
      <c r="U97" s="290"/>
    </row>
    <row r="98" spans="1:21" x14ac:dyDescent="0.15">
      <c r="A98" s="103">
        <f t="shared" si="9"/>
        <v>-0.19517892125</v>
      </c>
      <c r="B98" s="117">
        <f t="shared" si="9"/>
        <v>-193637.75364357376</v>
      </c>
      <c r="C98" s="252">
        <f t="shared" si="9"/>
        <v>-0.21103936000000001</v>
      </c>
      <c r="D98" s="322"/>
      <c r="E98" s="136"/>
      <c r="F98" s="136"/>
      <c r="G98" s="230"/>
      <c r="H98" s="238"/>
      <c r="I98" s="238"/>
      <c r="J98" s="227"/>
      <c r="K98" s="227"/>
      <c r="L98" s="253"/>
      <c r="M98" s="67"/>
      <c r="N98" s="275" t="s">
        <v>65</v>
      </c>
      <c r="O98" s="172"/>
      <c r="P98" s="172"/>
      <c r="Q98" s="286"/>
      <c r="R98" s="289">
        <v>1.54</v>
      </c>
      <c r="S98" s="172">
        <v>4.88</v>
      </c>
      <c r="T98" s="290"/>
      <c r="U98" s="290"/>
    </row>
    <row r="99" spans="1:21" ht="14.25" thickBot="1" x14ac:dyDescent="0.2">
      <c r="A99" s="297"/>
      <c r="B99" s="298"/>
      <c r="C99" s="299"/>
      <c r="D99" s="323"/>
      <c r="E99" s="137"/>
      <c r="F99" s="137"/>
      <c r="G99" s="231"/>
      <c r="H99" s="239"/>
      <c r="I99" s="239"/>
      <c r="J99" s="324"/>
      <c r="K99" s="324"/>
      <c r="L99" s="254"/>
      <c r="M99" s="68"/>
      <c r="N99" s="275"/>
      <c r="O99" s="172"/>
      <c r="P99" s="172"/>
      <c r="Q99" s="287"/>
      <c r="R99" s="289"/>
      <c r="S99" s="172"/>
      <c r="T99" s="290"/>
      <c r="U99" s="290"/>
    </row>
    <row r="100" spans="1:21" ht="13.5" customHeight="1" x14ac:dyDescent="0.15">
      <c r="A100" s="326" t="s">
        <v>26</v>
      </c>
      <c r="B100" s="158">
        <f>E100+H100</f>
        <v>4.5698663733594245</v>
      </c>
      <c r="C100" s="159"/>
      <c r="D100" s="226" t="s">
        <v>27</v>
      </c>
      <c r="E100" s="158">
        <f>G97-J97-A95+A38</f>
        <v>-0.18853928500000089</v>
      </c>
      <c r="F100" s="159"/>
      <c r="G100" s="223" t="s">
        <v>28</v>
      </c>
      <c r="H100" s="158">
        <f>H97-K97-B95+B38+(-2)*(-5.85299)</f>
        <v>4.7584056583594254</v>
      </c>
      <c r="I100" s="159"/>
      <c r="J100" s="247" t="s">
        <v>29</v>
      </c>
      <c r="K100" s="158">
        <f>I97-L97-C95+C38+H100</f>
        <v>4.6085689256094238</v>
      </c>
      <c r="L100" s="262"/>
      <c r="M100" s="69">
        <f>K100-2*1.68514</f>
        <v>1.2382889256094236</v>
      </c>
      <c r="N100" s="282"/>
      <c r="O100" s="173"/>
      <c r="P100" s="173"/>
      <c r="Q100" s="287"/>
      <c r="R100" s="291"/>
      <c r="S100" s="173"/>
      <c r="T100" s="290"/>
      <c r="U100" s="290"/>
    </row>
    <row r="101" spans="1:21" x14ac:dyDescent="0.15">
      <c r="A101" s="104"/>
      <c r="B101" s="160"/>
      <c r="C101" s="161"/>
      <c r="D101" s="174"/>
      <c r="E101" s="160"/>
      <c r="F101" s="161"/>
      <c r="G101" s="224"/>
      <c r="H101" s="160"/>
      <c r="I101" s="161"/>
      <c r="J101" s="248"/>
      <c r="K101" s="160"/>
      <c r="L101" s="263"/>
      <c r="M101" s="70"/>
      <c r="N101" s="275" t="s">
        <v>66</v>
      </c>
      <c r="O101" s="275"/>
      <c r="P101" s="275"/>
      <c r="Q101" s="286"/>
      <c r="R101" s="289" t="s">
        <v>67</v>
      </c>
      <c r="S101" s="172" t="s">
        <v>67</v>
      </c>
      <c r="T101" s="290"/>
      <c r="U101" s="290"/>
    </row>
    <row r="102" spans="1:21" ht="14.25" thickBot="1" x14ac:dyDescent="0.2">
      <c r="A102" s="105"/>
      <c r="B102" s="162"/>
      <c r="C102" s="163"/>
      <c r="D102" s="175"/>
      <c r="E102" s="162"/>
      <c r="F102" s="163"/>
      <c r="G102" s="225"/>
      <c r="H102" s="162"/>
      <c r="I102" s="163"/>
      <c r="J102" s="249"/>
      <c r="K102" s="162"/>
      <c r="L102" s="264"/>
      <c r="M102" s="71"/>
      <c r="N102" s="275"/>
      <c r="O102" s="275"/>
      <c r="P102" s="275"/>
      <c r="Q102" s="287"/>
      <c r="R102" s="289"/>
      <c r="S102" s="172"/>
      <c r="T102" s="290"/>
      <c r="U102" s="290"/>
    </row>
    <row r="103" spans="1:21" ht="13.5" customHeight="1" x14ac:dyDescent="0.15">
      <c r="A103" s="325" t="s">
        <v>32</v>
      </c>
      <c r="B103" s="158">
        <f>E103+H103</f>
        <v>2.6946270367420637</v>
      </c>
      <c r="C103" s="158"/>
      <c r="D103" s="226" t="s">
        <v>33</v>
      </c>
      <c r="E103" s="158">
        <f>G97-J97-D97+A35</f>
        <v>1.0208782499999125E-2</v>
      </c>
      <c r="F103" s="159"/>
      <c r="G103" s="226" t="s">
        <v>34</v>
      </c>
      <c r="H103" s="158">
        <f>H97-K97-E97+B50+(-2)*(-5.85299)</f>
        <v>2.6844182542420647</v>
      </c>
      <c r="I103" s="159"/>
      <c r="J103" s="223" t="s">
        <v>35</v>
      </c>
      <c r="K103" s="158">
        <f>I97-L97-F97+C35+H103</f>
        <v>2.6601303197420636</v>
      </c>
      <c r="L103" s="262"/>
      <c r="M103" s="69">
        <f>K103-2*1.68514</f>
        <v>-0.71014968025793657</v>
      </c>
      <c r="N103" s="275"/>
      <c r="O103" s="275"/>
      <c r="P103" s="275"/>
      <c r="Q103" s="287"/>
      <c r="R103" s="289"/>
      <c r="S103" s="172"/>
      <c r="T103" s="290"/>
      <c r="U103" s="290"/>
    </row>
    <row r="104" spans="1:21" x14ac:dyDescent="0.15">
      <c r="A104" s="106"/>
      <c r="B104" s="160"/>
      <c r="C104" s="160"/>
      <c r="D104" s="174"/>
      <c r="E104" s="160"/>
      <c r="F104" s="161"/>
      <c r="G104" s="174"/>
      <c r="H104" s="160"/>
      <c r="I104" s="161"/>
      <c r="J104" s="224"/>
      <c r="K104" s="160"/>
      <c r="L104" s="263"/>
      <c r="M104" s="70"/>
      <c r="N104" s="278" t="s">
        <v>68</v>
      </c>
      <c r="O104" s="278"/>
      <c r="P104" s="278"/>
      <c r="Q104" s="286"/>
      <c r="R104" s="289" t="s">
        <v>67</v>
      </c>
      <c r="S104" s="172" t="s">
        <v>67</v>
      </c>
      <c r="T104" s="290"/>
      <c r="U104" s="290"/>
    </row>
    <row r="105" spans="1:21" ht="14.25" thickBot="1" x14ac:dyDescent="0.2">
      <c r="A105" s="107"/>
      <c r="B105" s="164"/>
      <c r="C105" s="164"/>
      <c r="D105" s="176"/>
      <c r="E105" s="164"/>
      <c r="F105" s="165"/>
      <c r="G105" s="176"/>
      <c r="H105" s="164"/>
      <c r="I105" s="165"/>
      <c r="J105" s="250"/>
      <c r="K105" s="164"/>
      <c r="L105" s="265"/>
      <c r="M105" s="71"/>
      <c r="N105" s="275"/>
      <c r="O105" s="275"/>
      <c r="P105" s="275"/>
      <c r="Q105" s="287"/>
      <c r="R105" s="289"/>
      <c r="S105" s="172"/>
      <c r="T105" s="290"/>
      <c r="U105" s="290"/>
    </row>
    <row r="106" spans="1:21" ht="13.5" customHeight="1" x14ac:dyDescent="0.15">
      <c r="A106" s="128" t="s">
        <v>94</v>
      </c>
      <c r="B106" s="129"/>
      <c r="C106" s="129"/>
      <c r="D106" s="196" t="s">
        <v>19</v>
      </c>
      <c r="E106" s="197"/>
      <c r="F106" s="198"/>
      <c r="G106" s="308" t="s">
        <v>97</v>
      </c>
      <c r="H106" s="197"/>
      <c r="I106" s="198"/>
      <c r="J106" s="196" t="s">
        <v>89</v>
      </c>
      <c r="K106" s="197"/>
      <c r="L106" s="270"/>
      <c r="M106" s="75" t="s">
        <v>135</v>
      </c>
      <c r="N106" s="275"/>
      <c r="O106" s="275"/>
      <c r="P106" s="275"/>
      <c r="Q106" s="287"/>
      <c r="R106" s="289"/>
      <c r="S106" s="172"/>
      <c r="T106" s="290"/>
      <c r="U106" s="290"/>
    </row>
    <row r="107" spans="1:21" ht="13.5" customHeight="1" x14ac:dyDescent="0.15">
      <c r="A107" s="130"/>
      <c r="B107" s="131"/>
      <c r="C107" s="131"/>
      <c r="D107" s="199"/>
      <c r="E107" s="200"/>
      <c r="F107" s="201"/>
      <c r="G107" s="199"/>
      <c r="H107" s="200"/>
      <c r="I107" s="201"/>
      <c r="J107" s="199"/>
      <c r="K107" s="200"/>
      <c r="L107" s="271"/>
      <c r="M107" s="76"/>
      <c r="N107" s="275" t="s">
        <v>69</v>
      </c>
      <c r="O107" s="275"/>
      <c r="P107" s="275"/>
      <c r="Q107" s="286"/>
      <c r="R107" s="289" t="s">
        <v>67</v>
      </c>
      <c r="S107" s="172" t="s">
        <v>67</v>
      </c>
      <c r="T107" s="290"/>
      <c r="U107" s="290"/>
    </row>
    <row r="108" spans="1:21" ht="14.25" customHeight="1" thickBot="1" x14ac:dyDescent="0.2">
      <c r="A108" s="130"/>
      <c r="B108" s="131"/>
      <c r="C108" s="131"/>
      <c r="D108" s="202"/>
      <c r="E108" s="203"/>
      <c r="F108" s="204"/>
      <c r="G108" s="202"/>
      <c r="H108" s="203"/>
      <c r="I108" s="204"/>
      <c r="J108" s="202"/>
      <c r="K108" s="203"/>
      <c r="L108" s="272"/>
      <c r="M108" s="77"/>
      <c r="N108" s="275"/>
      <c r="O108" s="275"/>
      <c r="P108" s="275"/>
      <c r="Q108" s="287"/>
      <c r="R108" s="289"/>
      <c r="S108" s="172"/>
      <c r="T108" s="290"/>
      <c r="U108" s="290"/>
    </row>
    <row r="109" spans="1:21" x14ac:dyDescent="0.15">
      <c r="A109" s="40" t="str">
        <f t="shared" ref="A109:C113" si="12">A94</f>
        <v>MBD</v>
      </c>
      <c r="B109" s="41" t="str">
        <f t="shared" si="12"/>
        <v>PBE</v>
      </c>
      <c r="C109" s="62" t="str">
        <f t="shared" si="12"/>
        <v>TS</v>
      </c>
      <c r="D109" s="179" t="str">
        <f t="shared" ref="D109:F112" si="13">D79</f>
        <v>SCS</v>
      </c>
      <c r="E109" s="189" t="str">
        <f t="shared" si="13"/>
        <v>PBE</v>
      </c>
      <c r="F109" s="134" t="str">
        <f t="shared" si="13"/>
        <v>TS</v>
      </c>
      <c r="G109" s="179" t="s">
        <v>3</v>
      </c>
      <c r="H109" s="189" t="s">
        <v>4</v>
      </c>
      <c r="I109" s="134" t="s">
        <v>5</v>
      </c>
      <c r="J109" s="179" t="s">
        <v>3</v>
      </c>
      <c r="K109" s="189" t="s">
        <v>4</v>
      </c>
      <c r="L109" s="255" t="s">
        <v>5</v>
      </c>
      <c r="M109" s="66">
        <f>B115-2*1.68514</f>
        <v>1.8640448886670411</v>
      </c>
      <c r="N109" s="275"/>
      <c r="O109" s="275"/>
      <c r="P109" s="275"/>
      <c r="Q109" s="287"/>
      <c r="R109" s="289"/>
      <c r="S109" s="172"/>
      <c r="T109" s="290"/>
      <c r="U109" s="290"/>
    </row>
    <row r="110" spans="1:21" x14ac:dyDescent="0.15">
      <c r="A110" s="90">
        <f t="shared" si="12"/>
        <v>-9.5804887499999977E-2</v>
      </c>
      <c r="B110" s="118">
        <f t="shared" si="12"/>
        <v>-193638.79063727582</v>
      </c>
      <c r="C110" s="138">
        <f t="shared" si="12"/>
        <v>-0.14826496087499999</v>
      </c>
      <c r="D110" s="179"/>
      <c r="E110" s="189"/>
      <c r="F110" s="134"/>
      <c r="G110" s="179"/>
      <c r="H110" s="189"/>
      <c r="I110" s="134"/>
      <c r="J110" s="179"/>
      <c r="K110" s="189"/>
      <c r="L110" s="255"/>
      <c r="M110" s="67"/>
      <c r="N110" s="275" t="s">
        <v>62</v>
      </c>
      <c r="O110" s="275"/>
      <c r="P110" s="275"/>
      <c r="Q110" s="286"/>
      <c r="R110" s="289" t="s">
        <v>67</v>
      </c>
      <c r="S110" s="172" t="s">
        <v>67</v>
      </c>
      <c r="T110" s="290"/>
      <c r="U110" s="290"/>
    </row>
    <row r="111" spans="1:21" ht="14.25" thickBot="1" x14ac:dyDescent="0.2">
      <c r="A111" s="91"/>
      <c r="B111" s="119"/>
      <c r="C111" s="139"/>
      <c r="D111" s="181"/>
      <c r="E111" s="191"/>
      <c r="F111" s="135"/>
      <c r="G111" s="181"/>
      <c r="H111" s="191"/>
      <c r="I111" s="135"/>
      <c r="J111" s="181"/>
      <c r="K111" s="191"/>
      <c r="L111" s="215"/>
      <c r="M111" s="68"/>
      <c r="N111" s="275"/>
      <c r="O111" s="275"/>
      <c r="P111" s="275"/>
      <c r="Q111" s="287"/>
      <c r="R111" s="289"/>
      <c r="S111" s="172"/>
      <c r="T111" s="290"/>
      <c r="U111" s="290"/>
    </row>
    <row r="112" spans="1:21" ht="14.25" thickBot="1" x14ac:dyDescent="0.2">
      <c r="A112" s="42" t="str">
        <f t="shared" si="12"/>
        <v>MBD</v>
      </c>
      <c r="B112" s="43" t="str">
        <f t="shared" si="12"/>
        <v>PBE</v>
      </c>
      <c r="C112" s="60" t="str">
        <f t="shared" si="12"/>
        <v>TS</v>
      </c>
      <c r="D112" s="184">
        <f t="shared" si="13"/>
        <v>-0.19517892125</v>
      </c>
      <c r="E112" s="134">
        <f t="shared" si="13"/>
        <v>-193637.75364357376</v>
      </c>
      <c r="F112" s="134">
        <f t="shared" si="13"/>
        <v>-0.21103936000000001</v>
      </c>
      <c r="G112" s="230">
        <f>-8.97119381</f>
        <v>-8.9711938100000008</v>
      </c>
      <c r="H112" s="238">
        <f>-8839092.36097009+8.97119381</f>
        <v>-8839083.3897762783</v>
      </c>
      <c r="I112" s="238">
        <f>-8.837743778</f>
        <v>-8.8377437780000001</v>
      </c>
      <c r="J112" s="179">
        <f>J97</f>
        <v>-8.9407424599999992</v>
      </c>
      <c r="K112" s="189">
        <f>K97</f>
        <v>-9213597.5541339312</v>
      </c>
      <c r="L112" s="255">
        <f>L97</f>
        <v>-8.8183975179999994</v>
      </c>
      <c r="M112" s="66">
        <f>H115-2*1.68514</f>
        <v>2.2282794236670425</v>
      </c>
      <c r="N112" s="279"/>
      <c r="O112" s="279"/>
      <c r="P112" s="279"/>
      <c r="Q112" s="287"/>
      <c r="R112" s="292"/>
      <c r="S112" s="293"/>
      <c r="T112" s="290"/>
      <c r="U112" s="290"/>
    </row>
    <row r="113" spans="1:13" x14ac:dyDescent="0.15">
      <c r="A113" s="92">
        <f t="shared" si="12"/>
        <v>-0.19517892125</v>
      </c>
      <c r="B113" s="114">
        <f t="shared" si="12"/>
        <v>-193637.75364357376</v>
      </c>
      <c r="C113" s="134">
        <f t="shared" si="12"/>
        <v>-0.21103936000000001</v>
      </c>
      <c r="D113" s="184"/>
      <c r="E113" s="134"/>
      <c r="F113" s="134"/>
      <c r="G113" s="230"/>
      <c r="H113" s="238"/>
      <c r="I113" s="238"/>
      <c r="J113" s="179"/>
      <c r="K113" s="189"/>
      <c r="L113" s="255"/>
      <c r="M113" s="67"/>
    </row>
    <row r="114" spans="1:13" ht="14.25" thickBot="1" x14ac:dyDescent="0.2">
      <c r="A114" s="93"/>
      <c r="B114" s="115"/>
      <c r="C114" s="135"/>
      <c r="D114" s="185"/>
      <c r="E114" s="135"/>
      <c r="F114" s="135"/>
      <c r="G114" s="231"/>
      <c r="H114" s="239"/>
      <c r="I114" s="239"/>
      <c r="J114" s="181"/>
      <c r="K114" s="191"/>
      <c r="L114" s="215"/>
      <c r="M114" s="68"/>
    </row>
    <row r="115" spans="1:13" x14ac:dyDescent="0.15">
      <c r="A115" s="108" t="s">
        <v>95</v>
      </c>
      <c r="B115" s="121">
        <f>E115+H115</f>
        <v>5.2343248886670413</v>
      </c>
      <c r="C115" s="122"/>
      <c r="D115" s="171" t="s">
        <v>27</v>
      </c>
      <c r="E115" s="121">
        <f>G112-J112-A110+A8</f>
        <v>-0.36423453500000164</v>
      </c>
      <c r="F115" s="122"/>
      <c r="G115" s="220" t="s">
        <v>28</v>
      </c>
      <c r="H115" s="121">
        <f>H112-K112-B110+B8+(-2)*(-5.95818)</f>
        <v>5.5985594236670426</v>
      </c>
      <c r="I115" s="122"/>
      <c r="J115" s="220" t="s">
        <v>29</v>
      </c>
      <c r="K115" s="121">
        <f>I112-L112-C110+C8+H115</f>
        <v>5.4320206770420416</v>
      </c>
      <c r="L115" s="267"/>
      <c r="M115" s="69">
        <f>K115-2*1.68514</f>
        <v>2.0617406770420414</v>
      </c>
    </row>
    <row r="116" spans="1:13" x14ac:dyDescent="0.15">
      <c r="A116" s="97"/>
      <c r="B116" s="123"/>
      <c r="C116" s="124"/>
      <c r="D116" s="123"/>
      <c r="E116" s="123"/>
      <c r="F116" s="124"/>
      <c r="G116" s="124"/>
      <c r="H116" s="123"/>
      <c r="I116" s="124"/>
      <c r="J116" s="124"/>
      <c r="K116" s="123"/>
      <c r="L116" s="268"/>
      <c r="M116" s="70"/>
    </row>
    <row r="117" spans="1:13" ht="14.25" thickBot="1" x14ac:dyDescent="0.2">
      <c r="A117" s="98"/>
      <c r="B117" s="125"/>
      <c r="C117" s="126"/>
      <c r="D117" s="125"/>
      <c r="E117" s="125"/>
      <c r="F117" s="126"/>
      <c r="G117" s="126"/>
      <c r="H117" s="125"/>
      <c r="I117" s="126"/>
      <c r="J117" s="126"/>
      <c r="K117" s="125"/>
      <c r="L117" s="269"/>
      <c r="M117" s="71"/>
    </row>
    <row r="118" spans="1:13" x14ac:dyDescent="0.15">
      <c r="A118" s="109" t="s">
        <v>96</v>
      </c>
      <c r="B118" s="121">
        <f>E118+H118</f>
        <v>2.4214658837409999</v>
      </c>
      <c r="C118" s="121"/>
      <c r="D118" s="171" t="s">
        <v>33</v>
      </c>
      <c r="E118" s="121">
        <f>G112-J112-D112+A5</f>
        <v>-6.6112433750001587E-2</v>
      </c>
      <c r="F118" s="122"/>
      <c r="G118" s="171" t="s">
        <v>34</v>
      </c>
      <c r="H118" s="121">
        <f>H112-K112-E112+B5+(-2)*(-5.95818)</f>
        <v>2.4875783174910016</v>
      </c>
      <c r="I118" s="122"/>
      <c r="J118" s="220" t="s">
        <v>35</v>
      </c>
      <c r="K118" s="121">
        <f>I112-L112-F112+C5+H118</f>
        <v>2.5093627682410009</v>
      </c>
      <c r="L118" s="267"/>
      <c r="M118" s="69">
        <f>K118-2*1.68514</f>
        <v>-0.86091723175899926</v>
      </c>
    </row>
    <row r="119" spans="1:13" x14ac:dyDescent="0.15">
      <c r="A119" s="100"/>
      <c r="B119" s="123"/>
      <c r="C119" s="123"/>
      <c r="D119" s="123"/>
      <c r="E119" s="123"/>
      <c r="F119" s="124"/>
      <c r="G119" s="123"/>
      <c r="H119" s="123"/>
      <c r="I119" s="124"/>
      <c r="J119" s="124"/>
      <c r="K119" s="123"/>
      <c r="L119" s="268"/>
      <c r="M119" s="70"/>
    </row>
    <row r="120" spans="1:13" ht="14.25" thickBot="1" x14ac:dyDescent="0.2">
      <c r="A120" s="110"/>
      <c r="B120" s="127"/>
      <c r="C120" s="127"/>
      <c r="D120" s="127"/>
      <c r="E120" s="127"/>
      <c r="F120" s="205"/>
      <c r="G120" s="127"/>
      <c r="H120" s="127"/>
      <c r="I120" s="205"/>
      <c r="J120" s="205"/>
      <c r="K120" s="127"/>
      <c r="L120" s="277"/>
      <c r="M120" s="71"/>
    </row>
    <row r="121" spans="1:13" x14ac:dyDescent="0.15">
      <c r="A121" s="128" t="s">
        <v>92</v>
      </c>
      <c r="B121" s="300"/>
      <c r="C121" s="300"/>
      <c r="D121" s="303" t="s">
        <v>0</v>
      </c>
      <c r="E121" s="304"/>
      <c r="F121" s="305"/>
      <c r="G121" s="303" t="s">
        <v>99</v>
      </c>
      <c r="H121" s="304"/>
      <c r="I121" s="305"/>
      <c r="J121" s="303" t="s">
        <v>1</v>
      </c>
      <c r="K121" s="304"/>
      <c r="L121" s="306"/>
      <c r="M121" s="75" t="s">
        <v>135</v>
      </c>
    </row>
    <row r="122" spans="1:13" x14ac:dyDescent="0.15">
      <c r="A122" s="301"/>
      <c r="B122" s="302"/>
      <c r="C122" s="302"/>
      <c r="D122" s="152"/>
      <c r="E122" s="153"/>
      <c r="F122" s="154"/>
      <c r="G122" s="152"/>
      <c r="H122" s="153"/>
      <c r="I122" s="154"/>
      <c r="J122" s="152"/>
      <c r="K122" s="153"/>
      <c r="L122" s="260"/>
      <c r="M122" s="76"/>
    </row>
    <row r="123" spans="1:13" ht="14.25" thickBot="1" x14ac:dyDescent="0.2">
      <c r="A123" s="301"/>
      <c r="B123" s="302"/>
      <c r="C123" s="302"/>
      <c r="D123" s="155"/>
      <c r="E123" s="156"/>
      <c r="F123" s="157"/>
      <c r="G123" s="155"/>
      <c r="H123" s="156"/>
      <c r="I123" s="157"/>
      <c r="J123" s="155"/>
      <c r="K123" s="156"/>
      <c r="L123" s="307"/>
      <c r="M123" s="77"/>
    </row>
    <row r="124" spans="1:13" x14ac:dyDescent="0.15">
      <c r="A124" s="2" t="str">
        <f t="shared" ref="A124:C128" si="14">A4</f>
        <v>MBD</v>
      </c>
      <c r="B124" s="3" t="str">
        <f t="shared" si="14"/>
        <v>PBE</v>
      </c>
      <c r="C124" s="59" t="str">
        <f t="shared" si="14"/>
        <v>TS</v>
      </c>
      <c r="D124" s="179" t="str">
        <f t="shared" ref="D124:F127" si="15">D4</f>
        <v>MBD</v>
      </c>
      <c r="E124" s="189" t="str">
        <f t="shared" si="15"/>
        <v>PBE</v>
      </c>
      <c r="F124" s="134" t="str">
        <f t="shared" si="15"/>
        <v>TS</v>
      </c>
      <c r="G124" s="179" t="str">
        <f>G4</f>
        <v>MBD</v>
      </c>
      <c r="H124" s="189" t="str">
        <f>H4</f>
        <v>PBE</v>
      </c>
      <c r="I124" s="134" t="str">
        <f>I4</f>
        <v>TS</v>
      </c>
      <c r="J124" s="179" t="str">
        <f t="shared" ref="J124:L127" si="16">J4</f>
        <v>MBD</v>
      </c>
      <c r="K124" s="189" t="str">
        <f t="shared" si="16"/>
        <v>PBE</v>
      </c>
      <c r="L124" s="255" t="str">
        <f t="shared" si="16"/>
        <v>TS</v>
      </c>
      <c r="M124" s="78">
        <f>B130+1.68514</f>
        <v>2.2787127275432226</v>
      </c>
    </row>
    <row r="125" spans="1:13" x14ac:dyDescent="0.15">
      <c r="A125" s="95">
        <f t="shared" si="14"/>
        <v>-0.23084000499999993</v>
      </c>
      <c r="B125" s="113">
        <f t="shared" si="14"/>
        <v>-568161.34678290912</v>
      </c>
      <c r="C125" s="320">
        <f t="shared" si="14"/>
        <v>-0.16990864924999999</v>
      </c>
      <c r="D125" s="179"/>
      <c r="E125" s="189"/>
      <c r="F125" s="134"/>
      <c r="G125" s="179"/>
      <c r="H125" s="189"/>
      <c r="I125" s="134"/>
      <c r="J125" s="179"/>
      <c r="K125" s="189"/>
      <c r="L125" s="255"/>
      <c r="M125" s="79"/>
    </row>
    <row r="126" spans="1:13" ht="14.25" thickBot="1" x14ac:dyDescent="0.2">
      <c r="A126" s="318"/>
      <c r="B126" s="319"/>
      <c r="C126" s="321"/>
      <c r="D126" s="179"/>
      <c r="E126" s="189"/>
      <c r="F126" s="134"/>
      <c r="G126" s="179"/>
      <c r="H126" s="189"/>
      <c r="I126" s="134"/>
      <c r="J126" s="179"/>
      <c r="K126" s="189"/>
      <c r="L126" s="255"/>
      <c r="M126" s="80"/>
    </row>
    <row r="127" spans="1:13" x14ac:dyDescent="0.15">
      <c r="A127" s="42" t="str">
        <f t="shared" si="14"/>
        <v>MBD</v>
      </c>
      <c r="B127" s="43" t="str">
        <f t="shared" si="14"/>
        <v>PBE</v>
      </c>
      <c r="C127" s="60" t="str">
        <f t="shared" si="14"/>
        <v>TS</v>
      </c>
      <c r="D127" s="179">
        <f t="shared" si="15"/>
        <v>-0.42958807249999997</v>
      </c>
      <c r="E127" s="189">
        <f t="shared" si="15"/>
        <v>-568159.27279550501</v>
      </c>
      <c r="F127" s="134">
        <f t="shared" si="15"/>
        <v>-0.29545744750000003</v>
      </c>
      <c r="G127" s="227">
        <f>-8.70794307</f>
        <v>-8.7079430700000007</v>
      </c>
      <c r="H127" s="236">
        <f>-9779136.31556743+8.70794307</f>
        <v>-9779127.6076243594</v>
      </c>
      <c r="I127" s="238">
        <f>-8.502035928</f>
        <v>-8.5020359279999997</v>
      </c>
      <c r="J127" s="227">
        <f t="shared" si="16"/>
        <v>-8.9407424599999992</v>
      </c>
      <c r="K127" s="236">
        <f t="shared" si="16"/>
        <v>-9213597.5541339312</v>
      </c>
      <c r="L127" s="253">
        <f t="shared" si="16"/>
        <v>-8.8183975179999994</v>
      </c>
      <c r="M127" s="66">
        <f>H130+1.68514</f>
        <v>2.1162893712932243</v>
      </c>
    </row>
    <row r="128" spans="1:13" x14ac:dyDescent="0.15">
      <c r="A128" s="93">
        <f t="shared" si="14"/>
        <v>-0.42958807249999997</v>
      </c>
      <c r="B128" s="115">
        <f t="shared" si="14"/>
        <v>-568159.27279550501</v>
      </c>
      <c r="C128" s="215">
        <f t="shared" si="14"/>
        <v>-0.29545744750000003</v>
      </c>
      <c r="D128" s="179"/>
      <c r="E128" s="189"/>
      <c r="F128" s="134"/>
      <c r="G128" s="227"/>
      <c r="H128" s="236"/>
      <c r="I128" s="238"/>
      <c r="J128" s="227"/>
      <c r="K128" s="236"/>
      <c r="L128" s="253"/>
      <c r="M128" s="67"/>
    </row>
    <row r="129" spans="1:13" ht="14.25" thickBot="1" x14ac:dyDescent="0.2">
      <c r="A129" s="327"/>
      <c r="B129" s="328"/>
      <c r="C129" s="329"/>
      <c r="D129" s="181"/>
      <c r="E129" s="191"/>
      <c r="F129" s="135"/>
      <c r="G129" s="324"/>
      <c r="H129" s="330"/>
      <c r="I129" s="239"/>
      <c r="J129" s="324"/>
      <c r="K129" s="330"/>
      <c r="L129" s="254"/>
      <c r="M129" s="68"/>
    </row>
    <row r="130" spans="1:13" x14ac:dyDescent="0.15">
      <c r="A130" s="326" t="str">
        <f>A10</f>
        <v>Ef(MBD+PBE)
Pb-poor</v>
      </c>
      <c r="B130" s="331">
        <f>E130+H130</f>
        <v>0.59357272754322254</v>
      </c>
      <c r="C130" s="334"/>
      <c r="D130" s="171" t="str">
        <f>D10</f>
        <v>MBD
Pb-poor</v>
      </c>
      <c r="E130" s="331">
        <f>G127-J127-A125+A35</f>
        <v>0.16242335624999837</v>
      </c>
      <c r="F130" s="334"/>
      <c r="G130" s="220" t="str">
        <f>G10</f>
        <v>PBE
Pb-poor</v>
      </c>
      <c r="H130" s="331">
        <f>H127-K127-B125+B50+(1)*(-5.77559)</f>
        <v>0.43114937129322417</v>
      </c>
      <c r="I130" s="334"/>
      <c r="J130" s="220" t="str">
        <f>J10</f>
        <v>TS
Pb-poor</v>
      </c>
      <c r="K130" s="158">
        <f>I127-L127-C125+C35+H130</f>
        <v>0.61814665004322378</v>
      </c>
      <c r="L130" s="262"/>
      <c r="M130" s="69">
        <f>K130+1.68514</f>
        <v>2.3032866500432236</v>
      </c>
    </row>
    <row r="131" spans="1:13" x14ac:dyDescent="0.15">
      <c r="A131" s="97"/>
      <c r="B131" s="332"/>
      <c r="C131" s="335"/>
      <c r="D131" s="123"/>
      <c r="E131" s="332"/>
      <c r="F131" s="335"/>
      <c r="G131" s="124"/>
      <c r="H131" s="332"/>
      <c r="I131" s="335"/>
      <c r="J131" s="124"/>
      <c r="K131" s="160"/>
      <c r="L131" s="263"/>
      <c r="M131" s="70"/>
    </row>
    <row r="132" spans="1:13" ht="14.25" thickBot="1" x14ac:dyDescent="0.2">
      <c r="A132" s="98"/>
      <c r="B132" s="333"/>
      <c r="C132" s="336"/>
      <c r="D132" s="125"/>
      <c r="E132" s="333"/>
      <c r="F132" s="336"/>
      <c r="G132" s="126"/>
      <c r="H132" s="333"/>
      <c r="I132" s="336"/>
      <c r="J132" s="126"/>
      <c r="K132" s="162"/>
      <c r="L132" s="264"/>
      <c r="M132" s="71"/>
    </row>
    <row r="133" spans="1:13" x14ac:dyDescent="0.15">
      <c r="A133" s="325" t="str">
        <f>A13</f>
        <v>Ef(MBD+PBE)
Pb-rich</v>
      </c>
      <c r="B133" s="331">
        <f>E133+H133</f>
        <v>-0.34404694076545772</v>
      </c>
      <c r="C133" s="331"/>
      <c r="D133" s="171" t="str">
        <f>D13</f>
        <v>MBD
Pb-rich</v>
      </c>
      <c r="E133" s="331">
        <f>G127-J127-A128+A38</f>
        <v>0.26179738999999846</v>
      </c>
      <c r="F133" s="334"/>
      <c r="G133" s="171" t="str">
        <f>G13</f>
        <v>PBE
Pb-rich</v>
      </c>
      <c r="H133" s="331">
        <f>H127-K127-B128+B38+(1)*(-5.77559)</f>
        <v>-0.60584433076545618</v>
      </c>
      <c r="I133" s="334"/>
      <c r="J133" s="220" t="str">
        <f>J13</f>
        <v>TS
Pb-rich</v>
      </c>
      <c r="K133" s="158">
        <f>I127-L127-C128+C38+H133</f>
        <v>-0.35607265289045642</v>
      </c>
      <c r="L133" s="262"/>
      <c r="M133" s="69">
        <f>K133+1.68514</f>
        <v>1.3290673471095436</v>
      </c>
    </row>
    <row r="134" spans="1:13" x14ac:dyDescent="0.15">
      <c r="A134" s="100"/>
      <c r="B134" s="332"/>
      <c r="C134" s="332"/>
      <c r="D134" s="123"/>
      <c r="E134" s="332"/>
      <c r="F134" s="335"/>
      <c r="G134" s="123"/>
      <c r="H134" s="332"/>
      <c r="I134" s="335"/>
      <c r="J134" s="124"/>
      <c r="K134" s="160"/>
      <c r="L134" s="263"/>
      <c r="M134" s="70"/>
    </row>
    <row r="135" spans="1:13" ht="14.25" thickBot="1" x14ac:dyDescent="0.2">
      <c r="A135" s="101"/>
      <c r="B135" s="333"/>
      <c r="C135" s="333"/>
      <c r="D135" s="125"/>
      <c r="E135" s="333"/>
      <c r="F135" s="336"/>
      <c r="G135" s="125"/>
      <c r="H135" s="333"/>
      <c r="I135" s="336"/>
      <c r="J135" s="126"/>
      <c r="K135" s="162"/>
      <c r="L135" s="264"/>
      <c r="M135" s="71"/>
    </row>
    <row r="136" spans="1:13" x14ac:dyDescent="0.15">
      <c r="A136" s="149" t="s">
        <v>105</v>
      </c>
      <c r="B136" s="150"/>
      <c r="C136" s="151"/>
      <c r="D136" s="149" t="s">
        <v>2</v>
      </c>
      <c r="E136" s="150"/>
      <c r="F136" s="151"/>
      <c r="G136" s="242" t="s">
        <v>104</v>
      </c>
      <c r="H136" s="150"/>
      <c r="I136" s="151"/>
      <c r="J136" s="149" t="s">
        <v>1</v>
      </c>
      <c r="K136" s="150"/>
      <c r="L136" s="259"/>
      <c r="M136" s="63" t="s">
        <v>135</v>
      </c>
    </row>
    <row r="137" spans="1:13" x14ac:dyDescent="0.15">
      <c r="A137" s="152"/>
      <c r="B137" s="153"/>
      <c r="C137" s="154"/>
      <c r="D137" s="152"/>
      <c r="E137" s="153"/>
      <c r="F137" s="154"/>
      <c r="G137" s="152"/>
      <c r="H137" s="153"/>
      <c r="I137" s="154"/>
      <c r="J137" s="152"/>
      <c r="K137" s="153"/>
      <c r="L137" s="260"/>
      <c r="M137" s="64"/>
    </row>
    <row r="138" spans="1:13" ht="14.25" thickBot="1" x14ac:dyDescent="0.2">
      <c r="A138" s="155"/>
      <c r="B138" s="156"/>
      <c r="C138" s="157"/>
      <c r="D138" s="210"/>
      <c r="E138" s="211"/>
      <c r="F138" s="212"/>
      <c r="G138" s="210"/>
      <c r="H138" s="211"/>
      <c r="I138" s="212"/>
      <c r="J138" s="210"/>
      <c r="K138" s="211"/>
      <c r="L138" s="261"/>
      <c r="M138" s="65"/>
    </row>
    <row r="139" spans="1:13" x14ac:dyDescent="0.15">
      <c r="A139" s="2" t="str">
        <f t="shared" ref="A139:L139" si="17">A49</f>
        <v>MBD</v>
      </c>
      <c r="B139" s="3" t="str">
        <f t="shared" si="17"/>
        <v>PBE</v>
      </c>
      <c r="C139" s="59" t="str">
        <f t="shared" si="17"/>
        <v>TS</v>
      </c>
      <c r="D139" s="179" t="str">
        <f t="shared" si="17"/>
        <v>MBD</v>
      </c>
      <c r="E139" s="189" t="str">
        <f t="shared" si="17"/>
        <v>PBE</v>
      </c>
      <c r="F139" s="134" t="str">
        <f t="shared" si="17"/>
        <v>TS</v>
      </c>
      <c r="G139" s="179" t="str">
        <f t="shared" si="17"/>
        <v>MBD</v>
      </c>
      <c r="H139" s="189" t="str">
        <f t="shared" si="17"/>
        <v>PBE</v>
      </c>
      <c r="I139" s="134" t="str">
        <f t="shared" si="17"/>
        <v>TS</v>
      </c>
      <c r="J139" s="179" t="str">
        <f t="shared" si="17"/>
        <v>MBD</v>
      </c>
      <c r="K139" s="189" t="str">
        <f t="shared" si="17"/>
        <v>PBE</v>
      </c>
      <c r="L139" s="255" t="str">
        <f t="shared" si="17"/>
        <v>TS</v>
      </c>
      <c r="M139" s="66">
        <f>B145+2*1.68514</f>
        <v>4.5698616747383998</v>
      </c>
    </row>
    <row r="140" spans="1:13" x14ac:dyDescent="0.15">
      <c r="A140" s="94">
        <f>A50</f>
        <v>-0.30121603875000003</v>
      </c>
      <c r="B140" s="112">
        <f>B50</f>
        <v>-2625.0865531095769</v>
      </c>
      <c r="C140" s="132">
        <f>C50</f>
        <v>-0.29927296049999996</v>
      </c>
      <c r="D140" s="179"/>
      <c r="E140" s="189"/>
      <c r="F140" s="134"/>
      <c r="G140" s="179"/>
      <c r="H140" s="189"/>
      <c r="I140" s="134"/>
      <c r="J140" s="179"/>
      <c r="K140" s="189"/>
      <c r="L140" s="255"/>
      <c r="M140" s="67"/>
    </row>
    <row r="141" spans="1:13" ht="14.25" thickBot="1" x14ac:dyDescent="0.2">
      <c r="A141" s="95"/>
      <c r="B141" s="113"/>
      <c r="C141" s="133"/>
      <c r="D141" s="179"/>
      <c r="E141" s="189"/>
      <c r="F141" s="134"/>
      <c r="G141" s="179"/>
      <c r="H141" s="189"/>
      <c r="I141" s="134"/>
      <c r="J141" s="179"/>
      <c r="K141" s="189"/>
      <c r="L141" s="255"/>
      <c r="M141" s="68"/>
    </row>
    <row r="142" spans="1:13" x14ac:dyDescent="0.15">
      <c r="A142" s="42" t="str">
        <f t="shared" ref="A142:L142" si="18">A52</f>
        <v>MBD</v>
      </c>
      <c r="B142" s="43" t="str">
        <f t="shared" si="18"/>
        <v>PBE</v>
      </c>
      <c r="C142" s="60" t="str">
        <f t="shared" si="18"/>
        <v>TS</v>
      </c>
      <c r="D142" s="179">
        <f t="shared" si="18"/>
        <v>-6.8502499999999994E-2</v>
      </c>
      <c r="E142" s="189">
        <f t="shared" si="18"/>
        <v>-520.98418938600003</v>
      </c>
      <c r="F142" s="134">
        <f t="shared" si="18"/>
        <v>-6.9675000000000001E-2</v>
      </c>
      <c r="G142" s="227">
        <f>-9.11344077</f>
        <v>-9.1134407700000004</v>
      </c>
      <c r="H142" s="236">
        <f>-9022581.27244137+9.11344077</f>
        <v>-9022572.1590005998</v>
      </c>
      <c r="I142" s="238">
        <f>-8.931256191</f>
        <v>-8.9312561909999992</v>
      </c>
      <c r="J142" s="227">
        <f t="shared" si="18"/>
        <v>-8.9407424599999992</v>
      </c>
      <c r="K142" s="236">
        <f t="shared" si="18"/>
        <v>-9213597.5541339312</v>
      </c>
      <c r="L142" s="253">
        <f t="shared" si="18"/>
        <v>-8.8183975179999994</v>
      </c>
      <c r="M142" s="66">
        <f>H145+2*1.68514</f>
        <v>4.6365228672384005</v>
      </c>
    </row>
    <row r="143" spans="1:13" x14ac:dyDescent="0.15">
      <c r="A143" s="92">
        <f>A53</f>
        <v>-0.40059007250000001</v>
      </c>
      <c r="B143" s="114">
        <f>B53</f>
        <v>-2624.0495594075182</v>
      </c>
      <c r="C143" s="134">
        <f>C53</f>
        <v>-0.3620473596249999</v>
      </c>
      <c r="D143" s="179"/>
      <c r="E143" s="189"/>
      <c r="F143" s="134"/>
      <c r="G143" s="227"/>
      <c r="H143" s="236"/>
      <c r="I143" s="238"/>
      <c r="J143" s="227"/>
      <c r="K143" s="236"/>
      <c r="L143" s="253"/>
      <c r="M143" s="67"/>
    </row>
    <row r="144" spans="1:13" ht="14.25" thickBot="1" x14ac:dyDescent="0.2">
      <c r="A144" s="93"/>
      <c r="B144" s="115"/>
      <c r="C144" s="135"/>
      <c r="D144" s="181"/>
      <c r="E144" s="191"/>
      <c r="F144" s="135"/>
      <c r="G144" s="324"/>
      <c r="H144" s="330"/>
      <c r="I144" s="239"/>
      <c r="J144" s="324"/>
      <c r="K144" s="330"/>
      <c r="L144" s="254"/>
      <c r="M144" s="68"/>
    </row>
    <row r="145" spans="1:13" x14ac:dyDescent="0.15">
      <c r="A145" s="326" t="str">
        <f>A55</f>
        <v>Ef(MBD+PBE)
Pb-poor</v>
      </c>
      <c r="B145" s="121">
        <f>E145+H145</f>
        <v>1.1995816747383992</v>
      </c>
      <c r="C145" s="122"/>
      <c r="D145" s="171" t="str">
        <f>D55</f>
        <v>MBD
Pb-poor</v>
      </c>
      <c r="E145" s="121">
        <f>G142-J142-A140+A23</f>
        <v>-6.6661192500001215E-2</v>
      </c>
      <c r="F145" s="122"/>
      <c r="G145" s="220" t="str">
        <f>G55</f>
        <v>PBE
Pb-poor</v>
      </c>
      <c r="H145" s="121">
        <f>H142-K142-B140+B23+(2)*(-5.7309)</f>
        <v>1.2662428672384003</v>
      </c>
      <c r="I145" s="122"/>
      <c r="J145" s="220" t="str">
        <f>J55</f>
        <v>TS
Pb-poor</v>
      </c>
      <c r="K145" s="121">
        <f>I142-L142-C140+C23+H145</f>
        <v>1.2416177947384004</v>
      </c>
      <c r="L145" s="267"/>
      <c r="M145" s="69">
        <f>K145+2*1.68514</f>
        <v>4.6118977947384003</v>
      </c>
    </row>
    <row r="146" spans="1:13" x14ac:dyDescent="0.15">
      <c r="A146" s="97"/>
      <c r="B146" s="123"/>
      <c r="C146" s="124"/>
      <c r="D146" s="123"/>
      <c r="E146" s="123"/>
      <c r="F146" s="124"/>
      <c r="G146" s="124"/>
      <c r="H146" s="123"/>
      <c r="I146" s="124"/>
      <c r="J146" s="124"/>
      <c r="K146" s="123"/>
      <c r="L146" s="268"/>
      <c r="M146" s="70"/>
    </row>
    <row r="147" spans="1:13" ht="14.25" thickBot="1" x14ac:dyDescent="0.2">
      <c r="A147" s="98"/>
      <c r="B147" s="125"/>
      <c r="C147" s="126"/>
      <c r="D147" s="125"/>
      <c r="E147" s="125"/>
      <c r="F147" s="126"/>
      <c r="G147" s="126"/>
      <c r="H147" s="125"/>
      <c r="I147" s="126"/>
      <c r="J147" s="126"/>
      <c r="K147" s="125"/>
      <c r="L147" s="269"/>
      <c r="M147" s="71"/>
    </row>
    <row r="148" spans="1:13" x14ac:dyDescent="0.15">
      <c r="A148" s="325" t="str">
        <f>A58</f>
        <v>Ef(MBD+PBE)
I-poor</v>
      </c>
      <c r="B148" s="121">
        <f>E148+H148</f>
        <v>-0.67565766187896159</v>
      </c>
      <c r="C148" s="121"/>
      <c r="D148" s="171" t="str">
        <f>D58</f>
        <v>MBD
I-poor</v>
      </c>
      <c r="E148" s="121">
        <f>G142-J142-A143+A20</f>
        <v>0.13208687499999877</v>
      </c>
      <c r="F148" s="122"/>
      <c r="G148" s="171" t="str">
        <f>G58</f>
        <v>PBE
I-poor</v>
      </c>
      <c r="H148" s="121">
        <f>H142-K142-B143+B20+(2)*(-5.7309)</f>
        <v>-0.80774453687896042</v>
      </c>
      <c r="I148" s="122"/>
      <c r="J148" s="220" t="str">
        <f>J58</f>
        <v>TS
I-poor</v>
      </c>
      <c r="K148" s="121">
        <f>I142-L142-C143+C20+H148</f>
        <v>-0.70682081112896034</v>
      </c>
      <c r="L148" s="267"/>
      <c r="M148" s="69">
        <f>K148+2*1.68514</f>
        <v>2.6634591888710397</v>
      </c>
    </row>
    <row r="149" spans="1:13" x14ac:dyDescent="0.15">
      <c r="A149" s="100"/>
      <c r="B149" s="123"/>
      <c r="C149" s="123"/>
      <c r="D149" s="123"/>
      <c r="E149" s="123"/>
      <c r="F149" s="124"/>
      <c r="G149" s="123"/>
      <c r="H149" s="123"/>
      <c r="I149" s="124"/>
      <c r="J149" s="124"/>
      <c r="K149" s="123"/>
      <c r="L149" s="268"/>
      <c r="M149" s="70"/>
    </row>
    <row r="150" spans="1:13" ht="14.25" thickBot="1" x14ac:dyDescent="0.2">
      <c r="A150" s="101"/>
      <c r="B150" s="125"/>
      <c r="C150" s="125"/>
      <c r="D150" s="125"/>
      <c r="E150" s="125"/>
      <c r="F150" s="126"/>
      <c r="G150" s="125"/>
      <c r="H150" s="125"/>
      <c r="I150" s="126"/>
      <c r="J150" s="126"/>
      <c r="K150" s="125"/>
      <c r="L150" s="269"/>
      <c r="M150" s="71"/>
    </row>
    <row r="151" spans="1:13" ht="13.5" customHeight="1" x14ac:dyDescent="0.15">
      <c r="A151" s="140" t="s">
        <v>101</v>
      </c>
      <c r="B151" s="141"/>
      <c r="C151" s="142"/>
      <c r="D151" s="140" t="s">
        <v>2</v>
      </c>
      <c r="E151" s="141"/>
      <c r="F151" s="142"/>
      <c r="G151" s="241" t="s">
        <v>107</v>
      </c>
      <c r="H151" s="141"/>
      <c r="I151" s="142"/>
      <c r="J151" s="140" t="s">
        <v>103</v>
      </c>
      <c r="K151" s="141"/>
      <c r="L151" s="256"/>
      <c r="M151" s="72" t="s">
        <v>135</v>
      </c>
    </row>
    <row r="152" spans="1:13" x14ac:dyDescent="0.15">
      <c r="A152" s="143"/>
      <c r="B152" s="144"/>
      <c r="C152" s="145"/>
      <c r="D152" s="143"/>
      <c r="E152" s="144"/>
      <c r="F152" s="145"/>
      <c r="G152" s="143"/>
      <c r="H152" s="144"/>
      <c r="I152" s="145"/>
      <c r="J152" s="143"/>
      <c r="K152" s="144"/>
      <c r="L152" s="257"/>
      <c r="M152" s="73"/>
    </row>
    <row r="153" spans="1:13" ht="14.25" thickBot="1" x14ac:dyDescent="0.2">
      <c r="A153" s="146"/>
      <c r="B153" s="147"/>
      <c r="C153" s="148"/>
      <c r="D153" s="207"/>
      <c r="E153" s="208"/>
      <c r="F153" s="209"/>
      <c r="G153" s="207"/>
      <c r="H153" s="208"/>
      <c r="I153" s="209"/>
      <c r="J153" s="207"/>
      <c r="K153" s="208"/>
      <c r="L153" s="258"/>
      <c r="M153" s="74"/>
    </row>
    <row r="154" spans="1:13" ht="14.25" customHeight="1" x14ac:dyDescent="0.15">
      <c r="A154" s="2" t="str">
        <f t="shared" ref="A154:C158" si="19">A34</f>
        <v>MBD</v>
      </c>
      <c r="B154" s="3" t="str">
        <f t="shared" si="19"/>
        <v>PBE</v>
      </c>
      <c r="C154" s="59" t="str">
        <f t="shared" si="19"/>
        <v>TS</v>
      </c>
      <c r="D154" s="337" t="s">
        <v>3</v>
      </c>
      <c r="E154" s="338" t="s">
        <v>4</v>
      </c>
      <c r="F154" s="339" t="s">
        <v>5</v>
      </c>
      <c r="G154" s="183" t="str">
        <f>G34</f>
        <v>MBD</v>
      </c>
      <c r="H154" s="193" t="str">
        <f>H34</f>
        <v>PBE</v>
      </c>
      <c r="I154" s="206" t="str">
        <f>I34</f>
        <v>TS</v>
      </c>
      <c r="J154" s="337" t="str">
        <f t="shared" ref="J154:L157" si="20">J34</f>
        <v>MBD</v>
      </c>
      <c r="K154" s="338" t="str">
        <f t="shared" si="20"/>
        <v>PBE</v>
      </c>
      <c r="L154" s="339" t="str">
        <f t="shared" si="20"/>
        <v>TS</v>
      </c>
      <c r="M154" s="66">
        <f>B160-2*1.68514</f>
        <v>-0.75803540418967197</v>
      </c>
    </row>
    <row r="155" spans="1:13" x14ac:dyDescent="0.15">
      <c r="A155" s="95">
        <f t="shared" si="19"/>
        <v>-0.30121603875000003</v>
      </c>
      <c r="B155" s="113">
        <f t="shared" si="19"/>
        <v>-2625.0865531095769</v>
      </c>
      <c r="C155" s="320">
        <f t="shared" si="19"/>
        <v>-0.29927296049999996</v>
      </c>
      <c r="D155" s="182"/>
      <c r="E155" s="192"/>
      <c r="F155" s="216"/>
      <c r="G155" s="179"/>
      <c r="H155" s="189"/>
      <c r="I155" s="134"/>
      <c r="J155" s="182"/>
      <c r="K155" s="192"/>
      <c r="L155" s="216"/>
      <c r="M155" s="67"/>
    </row>
    <row r="156" spans="1:13" ht="14.25" thickBot="1" x14ac:dyDescent="0.2">
      <c r="A156" s="318"/>
      <c r="B156" s="319"/>
      <c r="C156" s="321"/>
      <c r="D156" s="183"/>
      <c r="E156" s="193"/>
      <c r="F156" s="217"/>
      <c r="G156" s="179"/>
      <c r="H156" s="189"/>
      <c r="I156" s="134"/>
      <c r="J156" s="183"/>
      <c r="K156" s="193"/>
      <c r="L156" s="217"/>
      <c r="M156" s="68"/>
    </row>
    <row r="157" spans="1:13" ht="14.25" customHeight="1" x14ac:dyDescent="0.15">
      <c r="A157" s="42" t="str">
        <f t="shared" si="19"/>
        <v>MBD</v>
      </c>
      <c r="B157" s="43" t="str">
        <f t="shared" si="19"/>
        <v>PBE</v>
      </c>
      <c r="C157" s="60" t="str">
        <f t="shared" si="19"/>
        <v>TS</v>
      </c>
      <c r="D157" s="179">
        <f>-0.27401/4</f>
        <v>-6.8502499999999994E-2</v>
      </c>
      <c r="E157" s="189">
        <f>-2083.936757544/4</f>
        <v>-520.98418938600003</v>
      </c>
      <c r="F157" s="134">
        <f>-0.2787/4</f>
        <v>-6.9675000000000001E-2</v>
      </c>
      <c r="G157" s="227">
        <f>-9.2631297</f>
        <v>-9.2631297000000004</v>
      </c>
      <c r="H157" s="236">
        <f>-8648079.20293803+9.2631297</f>
        <v>-8648069.9398083296</v>
      </c>
      <c r="I157" s="238">
        <f>-9.08156599</f>
        <v>-9.0815659899999996</v>
      </c>
      <c r="J157" s="324">
        <f t="shared" si="20"/>
        <v>-8.9407424599999992</v>
      </c>
      <c r="K157" s="330">
        <f t="shared" si="20"/>
        <v>-9213597.5541339312</v>
      </c>
      <c r="L157" s="254">
        <f t="shared" si="20"/>
        <v>-8.8183975179999994</v>
      </c>
      <c r="M157" s="66">
        <f>H160-2*1.68514</f>
        <v>-0.50602419793967091</v>
      </c>
    </row>
    <row r="158" spans="1:13" x14ac:dyDescent="0.15">
      <c r="A158" s="93">
        <f t="shared" si="19"/>
        <v>-0.40059007250000001</v>
      </c>
      <c r="B158" s="115">
        <f t="shared" si="19"/>
        <v>-2624.0495594075182</v>
      </c>
      <c r="C158" s="215">
        <f t="shared" si="19"/>
        <v>-0.3620473596249999</v>
      </c>
      <c r="D158" s="179"/>
      <c r="E158" s="189"/>
      <c r="F158" s="134"/>
      <c r="G158" s="227"/>
      <c r="H158" s="236"/>
      <c r="I158" s="238"/>
      <c r="J158" s="340"/>
      <c r="K158" s="342"/>
      <c r="L158" s="309"/>
      <c r="M158" s="67"/>
    </row>
    <row r="159" spans="1:13" ht="14.25" thickBot="1" x14ac:dyDescent="0.2">
      <c r="A159" s="327"/>
      <c r="B159" s="328"/>
      <c r="C159" s="329"/>
      <c r="D159" s="181"/>
      <c r="E159" s="191"/>
      <c r="F159" s="135"/>
      <c r="G159" s="324"/>
      <c r="H159" s="330"/>
      <c r="I159" s="239"/>
      <c r="J159" s="341"/>
      <c r="K159" s="343"/>
      <c r="L159" s="310"/>
      <c r="M159" s="68"/>
    </row>
    <row r="160" spans="1:13" ht="13.5" customHeight="1" x14ac:dyDescent="0.15">
      <c r="A160" s="326" t="s">
        <v>90</v>
      </c>
      <c r="B160" s="158">
        <f>E160+H160</f>
        <v>2.6122445958103282</v>
      </c>
      <c r="C160" s="159"/>
      <c r="D160" s="171" t="s">
        <v>12</v>
      </c>
      <c r="E160" s="158">
        <f>G157-J157-A155+A125</f>
        <v>-0.25201120625000106</v>
      </c>
      <c r="F160" s="159"/>
      <c r="G160" s="220" t="s">
        <v>13</v>
      </c>
      <c r="H160" s="158">
        <f>H157-K157-B155+B125+(-2)*(-5.75508)</f>
        <v>2.8642558020603293</v>
      </c>
      <c r="I160" s="159"/>
      <c r="J160" s="220" t="s">
        <v>14</v>
      </c>
      <c r="K160" s="158">
        <f>I157-L157-C155+C125+H160</f>
        <v>2.7304516413103288</v>
      </c>
      <c r="L160" s="262"/>
      <c r="M160" s="69">
        <f>K160-2*1.68514</f>
        <v>-0.63982835868967136</v>
      </c>
    </row>
    <row r="161" spans="1:13" x14ac:dyDescent="0.15">
      <c r="A161" s="97"/>
      <c r="B161" s="160"/>
      <c r="C161" s="161"/>
      <c r="D161" s="123"/>
      <c r="E161" s="160"/>
      <c r="F161" s="161"/>
      <c r="G161" s="124"/>
      <c r="H161" s="160"/>
      <c r="I161" s="161"/>
      <c r="J161" s="124"/>
      <c r="K161" s="160"/>
      <c r="L161" s="263"/>
      <c r="M161" s="70"/>
    </row>
    <row r="162" spans="1:13" ht="14.25" thickBot="1" x14ac:dyDescent="0.2">
      <c r="A162" s="167"/>
      <c r="B162" s="164"/>
      <c r="C162" s="165"/>
      <c r="D162" s="127"/>
      <c r="E162" s="164"/>
      <c r="F162" s="165"/>
      <c r="G162" s="205"/>
      <c r="H162" s="164"/>
      <c r="I162" s="165"/>
      <c r="J162" s="205"/>
      <c r="K162" s="164"/>
      <c r="L162" s="265"/>
      <c r="M162" s="71"/>
    </row>
    <row r="163" spans="1:13" ht="13.5" customHeight="1" x14ac:dyDescent="0.15">
      <c r="A163" s="344" t="s">
        <v>26</v>
      </c>
      <c r="B163" s="166">
        <f>E163+H163</f>
        <v>3.5498642641190084</v>
      </c>
      <c r="C163" s="166"/>
      <c r="D163" s="178" t="s">
        <v>27</v>
      </c>
      <c r="E163" s="166">
        <f>G157-J157-A158+A128</f>
        <v>-0.35138524000000115</v>
      </c>
      <c r="F163" s="213"/>
      <c r="G163" s="178" t="s">
        <v>28</v>
      </c>
      <c r="H163" s="166">
        <f>H157-K157-B158+B128+(-2)*(-5.75508)</f>
        <v>3.9012495041190096</v>
      </c>
      <c r="I163" s="213"/>
      <c r="J163" s="229" t="s">
        <v>29</v>
      </c>
      <c r="K163" s="166">
        <f>I157-L157-C158+C128+H163</f>
        <v>3.7046709442440093</v>
      </c>
      <c r="L163" s="266"/>
      <c r="M163" s="69">
        <f>K163-2*1.68514</f>
        <v>0.33439094424400917</v>
      </c>
    </row>
    <row r="164" spans="1:13" x14ac:dyDescent="0.15">
      <c r="A164" s="100"/>
      <c r="B164" s="160"/>
      <c r="C164" s="160"/>
      <c r="D164" s="123"/>
      <c r="E164" s="160"/>
      <c r="F164" s="161"/>
      <c r="G164" s="123"/>
      <c r="H164" s="160"/>
      <c r="I164" s="161"/>
      <c r="J164" s="124"/>
      <c r="K164" s="160"/>
      <c r="L164" s="263"/>
      <c r="M164" s="70"/>
    </row>
    <row r="165" spans="1:13" ht="14.25" thickBot="1" x14ac:dyDescent="0.2">
      <c r="A165" s="110"/>
      <c r="B165" s="164"/>
      <c r="C165" s="164"/>
      <c r="D165" s="125"/>
      <c r="E165" s="162"/>
      <c r="F165" s="163"/>
      <c r="G165" s="125"/>
      <c r="H165" s="162"/>
      <c r="I165" s="163"/>
      <c r="J165" s="126"/>
      <c r="K165" s="162"/>
      <c r="L165" s="264"/>
      <c r="M165" s="71"/>
    </row>
    <row r="166" spans="1:13" ht="13.5" customHeight="1" x14ac:dyDescent="0.15">
      <c r="A166" s="128" t="s">
        <v>94</v>
      </c>
      <c r="B166" s="129"/>
      <c r="C166" s="129"/>
      <c r="D166" s="196" t="s">
        <v>19</v>
      </c>
      <c r="E166" s="197"/>
      <c r="F166" s="198"/>
      <c r="G166" s="240" t="s">
        <v>108</v>
      </c>
      <c r="H166" s="197"/>
      <c r="I166" s="198"/>
      <c r="J166" s="196" t="s">
        <v>1</v>
      </c>
      <c r="K166" s="197"/>
      <c r="L166" s="270"/>
      <c r="M166" s="63" t="s">
        <v>135</v>
      </c>
    </row>
    <row r="167" spans="1:13" ht="13.5" customHeight="1" x14ac:dyDescent="0.15">
      <c r="A167" s="130"/>
      <c r="B167" s="131"/>
      <c r="C167" s="131"/>
      <c r="D167" s="199"/>
      <c r="E167" s="200"/>
      <c r="F167" s="201"/>
      <c r="G167" s="199"/>
      <c r="H167" s="200"/>
      <c r="I167" s="201"/>
      <c r="J167" s="199"/>
      <c r="K167" s="200"/>
      <c r="L167" s="271"/>
      <c r="M167" s="64"/>
    </row>
    <row r="168" spans="1:13" ht="14.25" customHeight="1" thickBot="1" x14ac:dyDescent="0.2">
      <c r="A168" s="130"/>
      <c r="B168" s="131"/>
      <c r="C168" s="131"/>
      <c r="D168" s="202"/>
      <c r="E168" s="203"/>
      <c r="F168" s="204"/>
      <c r="G168" s="202"/>
      <c r="H168" s="203"/>
      <c r="I168" s="204"/>
      <c r="J168" s="202"/>
      <c r="K168" s="203"/>
      <c r="L168" s="272"/>
      <c r="M168" s="65"/>
    </row>
    <row r="169" spans="1:13" x14ac:dyDescent="0.15">
      <c r="A169" s="40" t="str">
        <f t="shared" ref="A169:C173" si="21">A109</f>
        <v>MBD</v>
      </c>
      <c r="B169" s="41" t="str">
        <f t="shared" si="21"/>
        <v>PBE</v>
      </c>
      <c r="C169" s="62" t="str">
        <f t="shared" si="21"/>
        <v>TS</v>
      </c>
      <c r="D169" s="179" t="str">
        <f t="shared" ref="D169:F172" si="22">D109</f>
        <v>SCS</v>
      </c>
      <c r="E169" s="189" t="str">
        <f t="shared" si="22"/>
        <v>PBE</v>
      </c>
      <c r="F169" s="134" t="str">
        <f t="shared" si="22"/>
        <v>TS</v>
      </c>
      <c r="G169" s="179" t="str">
        <f>G109</f>
        <v>SCS</v>
      </c>
      <c r="H169" s="189" t="str">
        <f>H109</f>
        <v>PBE</v>
      </c>
      <c r="I169" s="134" t="str">
        <f>I109</f>
        <v>TS</v>
      </c>
      <c r="J169" s="179" t="str">
        <f t="shared" ref="J169:L172" si="23">J109</f>
        <v>SCS</v>
      </c>
      <c r="K169" s="189" t="str">
        <f t="shared" si="23"/>
        <v>PBE</v>
      </c>
      <c r="L169" s="255" t="str">
        <f t="shared" si="23"/>
        <v>TS</v>
      </c>
      <c r="M169" s="66">
        <f>B175-3*1.68514</f>
        <v>1.5121201062732101</v>
      </c>
    </row>
    <row r="170" spans="1:13" x14ac:dyDescent="0.15">
      <c r="A170" s="90">
        <f t="shared" si="21"/>
        <v>-9.5804887499999977E-2</v>
      </c>
      <c r="B170" s="118">
        <f t="shared" si="21"/>
        <v>-193638.79063727582</v>
      </c>
      <c r="C170" s="138">
        <f t="shared" si="21"/>
        <v>-0.14826496087499999</v>
      </c>
      <c r="D170" s="179"/>
      <c r="E170" s="189"/>
      <c r="F170" s="134"/>
      <c r="G170" s="179"/>
      <c r="H170" s="189"/>
      <c r="I170" s="134"/>
      <c r="J170" s="179"/>
      <c r="K170" s="189"/>
      <c r="L170" s="255"/>
      <c r="M170" s="67"/>
    </row>
    <row r="171" spans="1:13" ht="14.25" thickBot="1" x14ac:dyDescent="0.2">
      <c r="A171" s="91"/>
      <c r="B171" s="119"/>
      <c r="C171" s="139"/>
      <c r="D171" s="181"/>
      <c r="E171" s="191"/>
      <c r="F171" s="135"/>
      <c r="G171" s="181"/>
      <c r="H171" s="191"/>
      <c r="I171" s="135"/>
      <c r="J171" s="181"/>
      <c r="K171" s="191"/>
      <c r="L171" s="215"/>
      <c r="M171" s="68"/>
    </row>
    <row r="172" spans="1:13" x14ac:dyDescent="0.15">
      <c r="A172" s="42" t="str">
        <f t="shared" si="21"/>
        <v>MBD</v>
      </c>
      <c r="B172" s="43" t="str">
        <f t="shared" si="21"/>
        <v>PBE</v>
      </c>
      <c r="C172" s="60" t="str">
        <f t="shared" si="21"/>
        <v>TS</v>
      </c>
      <c r="D172" s="184">
        <f t="shared" si="22"/>
        <v>-0.19517892125</v>
      </c>
      <c r="E172" s="134">
        <f t="shared" si="22"/>
        <v>-193637.75364357376</v>
      </c>
      <c r="F172" s="134">
        <f t="shared" si="22"/>
        <v>-0.21103936000000001</v>
      </c>
      <c r="G172" s="230">
        <f>-9.01689508</f>
        <v>-9.0168950799999994</v>
      </c>
      <c r="H172" s="238">
        <f>-8839096.73408487+9.01689508</f>
        <v>-8839087.7171897907</v>
      </c>
      <c r="I172" s="238">
        <f>-8.883696856</f>
        <v>-8.8836968560000003</v>
      </c>
      <c r="J172" s="179">
        <f t="shared" si="23"/>
        <v>-8.9407424599999992</v>
      </c>
      <c r="K172" s="189">
        <f t="shared" si="23"/>
        <v>-9213597.5541339312</v>
      </c>
      <c r="L172" s="255">
        <f t="shared" si="23"/>
        <v>-8.8183975179999994</v>
      </c>
      <c r="M172" s="66">
        <f>H175-3*1.68514</f>
        <v>1.9220559112732101</v>
      </c>
    </row>
    <row r="173" spans="1:13" x14ac:dyDescent="0.15">
      <c r="A173" s="92">
        <f t="shared" si="21"/>
        <v>-0.19517892125</v>
      </c>
      <c r="B173" s="114">
        <f t="shared" si="21"/>
        <v>-193637.75364357376</v>
      </c>
      <c r="C173" s="134">
        <f t="shared" si="21"/>
        <v>-0.21103936000000001</v>
      </c>
      <c r="D173" s="184"/>
      <c r="E173" s="134"/>
      <c r="F173" s="134"/>
      <c r="G173" s="230"/>
      <c r="H173" s="238"/>
      <c r="I173" s="238"/>
      <c r="J173" s="179"/>
      <c r="K173" s="189"/>
      <c r="L173" s="255"/>
      <c r="M173" s="67"/>
    </row>
    <row r="174" spans="1:13" ht="14.25" thickBot="1" x14ac:dyDescent="0.2">
      <c r="A174" s="93"/>
      <c r="B174" s="115"/>
      <c r="C174" s="135"/>
      <c r="D174" s="185"/>
      <c r="E174" s="135"/>
      <c r="F174" s="135"/>
      <c r="G174" s="231"/>
      <c r="H174" s="239"/>
      <c r="I174" s="239"/>
      <c r="J174" s="181"/>
      <c r="K174" s="191"/>
      <c r="L174" s="215"/>
      <c r="M174" s="68"/>
    </row>
    <row r="175" spans="1:13" ht="13.5" customHeight="1" x14ac:dyDescent="0.15">
      <c r="A175" s="108" t="s">
        <v>26</v>
      </c>
      <c r="B175" s="121">
        <f>E175+H175</f>
        <v>6.5675401062732099</v>
      </c>
      <c r="C175" s="122"/>
      <c r="D175" s="171" t="s">
        <v>27</v>
      </c>
      <c r="E175" s="121">
        <f>G172-J172-A170+A68</f>
        <v>-0.40993580500000021</v>
      </c>
      <c r="F175" s="122"/>
      <c r="G175" s="220" t="s">
        <v>28</v>
      </c>
      <c r="H175" s="121">
        <f>H172-K172-B170+B68+(-3)*(-5.87423)</f>
        <v>6.9774759112732099</v>
      </c>
      <c r="I175" s="122"/>
      <c r="J175" s="220" t="s">
        <v>29</v>
      </c>
      <c r="K175" s="121">
        <f>I172-L172-C170+C68+H175</f>
        <v>6.7649840866482087</v>
      </c>
      <c r="L175" s="267"/>
      <c r="M175" s="69">
        <f>K175-3*1.68514</f>
        <v>1.7095640866482089</v>
      </c>
    </row>
    <row r="176" spans="1:13" x14ac:dyDescent="0.15">
      <c r="A176" s="97"/>
      <c r="B176" s="123"/>
      <c r="C176" s="124"/>
      <c r="D176" s="123"/>
      <c r="E176" s="123"/>
      <c r="F176" s="124"/>
      <c r="G176" s="124"/>
      <c r="H176" s="123"/>
      <c r="I176" s="124"/>
      <c r="J176" s="124"/>
      <c r="K176" s="123"/>
      <c r="L176" s="268"/>
      <c r="M176" s="70"/>
    </row>
    <row r="177" spans="1:13" ht="14.25" thickBot="1" x14ac:dyDescent="0.2">
      <c r="A177" s="98"/>
      <c r="B177" s="125"/>
      <c r="C177" s="126"/>
      <c r="D177" s="125"/>
      <c r="E177" s="125"/>
      <c r="F177" s="126"/>
      <c r="G177" s="126"/>
      <c r="H177" s="125"/>
      <c r="I177" s="126"/>
      <c r="J177" s="126"/>
      <c r="K177" s="125"/>
      <c r="L177" s="269"/>
      <c r="M177" s="71"/>
    </row>
    <row r="178" spans="1:13" ht="13.5" customHeight="1" x14ac:dyDescent="0.15">
      <c r="A178" s="109" t="s">
        <v>32</v>
      </c>
      <c r="B178" s="121">
        <f>E178+H178</f>
        <v>3.7546811013471686</v>
      </c>
      <c r="C178" s="121"/>
      <c r="D178" s="171" t="s">
        <v>33</v>
      </c>
      <c r="E178" s="121">
        <f>G172-J172-D172+A65</f>
        <v>-0.11181370375000016</v>
      </c>
      <c r="F178" s="122"/>
      <c r="G178" s="171" t="s">
        <v>34</v>
      </c>
      <c r="H178" s="121">
        <f>H172-K172-E172+B65+(-3)*(-5.87423)</f>
        <v>3.8664948050971688</v>
      </c>
      <c r="I178" s="122"/>
      <c r="J178" s="220" t="s">
        <v>35</v>
      </c>
      <c r="K178" s="121">
        <f>I172-L172-F172+C65+H178</f>
        <v>3.842326177847168</v>
      </c>
      <c r="L178" s="267"/>
      <c r="M178" s="69">
        <f>K178-3*1.68514</f>
        <v>-1.2130938221528318</v>
      </c>
    </row>
    <row r="179" spans="1:13" x14ac:dyDescent="0.15">
      <c r="A179" s="100"/>
      <c r="B179" s="123"/>
      <c r="C179" s="123"/>
      <c r="D179" s="123"/>
      <c r="E179" s="123"/>
      <c r="F179" s="124"/>
      <c r="G179" s="123"/>
      <c r="H179" s="123"/>
      <c r="I179" s="124"/>
      <c r="J179" s="124"/>
      <c r="K179" s="123"/>
      <c r="L179" s="268"/>
      <c r="M179" s="70"/>
    </row>
    <row r="180" spans="1:13" ht="14.25" thickBot="1" x14ac:dyDescent="0.2">
      <c r="A180" s="110"/>
      <c r="B180" s="127"/>
      <c r="C180" s="127"/>
      <c r="D180" s="127"/>
      <c r="E180" s="127"/>
      <c r="F180" s="205"/>
      <c r="G180" s="127"/>
      <c r="H180" s="127"/>
      <c r="I180" s="205"/>
      <c r="J180" s="205"/>
      <c r="K180" s="127"/>
      <c r="L180" s="277"/>
      <c r="M180" s="71"/>
    </row>
    <row r="181" spans="1:13" ht="13.5" customHeight="1" x14ac:dyDescent="0.15">
      <c r="A181" s="128" t="s">
        <v>92</v>
      </c>
      <c r="B181" s="129"/>
      <c r="C181" s="129"/>
      <c r="D181" s="196" t="s">
        <v>0</v>
      </c>
      <c r="E181" s="197"/>
      <c r="F181" s="198"/>
      <c r="G181" s="303" t="s">
        <v>109</v>
      </c>
      <c r="H181" s="197"/>
      <c r="I181" s="198"/>
      <c r="J181" s="196" t="s">
        <v>1</v>
      </c>
      <c r="K181" s="197"/>
      <c r="L181" s="270"/>
      <c r="M181" s="63" t="s">
        <v>135</v>
      </c>
    </row>
    <row r="182" spans="1:13" x14ac:dyDescent="0.15">
      <c r="A182" s="130"/>
      <c r="B182" s="131"/>
      <c r="C182" s="131"/>
      <c r="D182" s="199"/>
      <c r="E182" s="200"/>
      <c r="F182" s="201"/>
      <c r="G182" s="199"/>
      <c r="H182" s="200"/>
      <c r="I182" s="201"/>
      <c r="J182" s="199"/>
      <c r="K182" s="200"/>
      <c r="L182" s="271"/>
      <c r="M182" s="64"/>
    </row>
    <row r="183" spans="1:13" ht="14.25" thickBot="1" x14ac:dyDescent="0.2">
      <c r="A183" s="130"/>
      <c r="B183" s="131"/>
      <c r="C183" s="131"/>
      <c r="D183" s="202"/>
      <c r="E183" s="203"/>
      <c r="F183" s="204"/>
      <c r="G183" s="202"/>
      <c r="H183" s="203"/>
      <c r="I183" s="204"/>
      <c r="J183" s="202"/>
      <c r="K183" s="203"/>
      <c r="L183" s="272"/>
      <c r="M183" s="65"/>
    </row>
    <row r="184" spans="1:13" x14ac:dyDescent="0.15">
      <c r="A184" s="40" t="str">
        <f t="shared" ref="A184:C188" si="24">A64</f>
        <v>MBD</v>
      </c>
      <c r="B184" s="41" t="str">
        <f t="shared" si="24"/>
        <v>PBE</v>
      </c>
      <c r="C184" s="62" t="str">
        <f t="shared" si="24"/>
        <v>TS</v>
      </c>
      <c r="D184" s="179" t="str">
        <f t="shared" ref="D184:F187" si="25">D64</f>
        <v>MBD</v>
      </c>
      <c r="E184" s="189" t="str">
        <f t="shared" si="25"/>
        <v>PBE</v>
      </c>
      <c r="F184" s="134" t="str">
        <f t="shared" si="25"/>
        <v>TS</v>
      </c>
      <c r="G184" s="179" t="str">
        <f>G64</f>
        <v>MBD</v>
      </c>
      <c r="H184" s="189" t="str">
        <f>H64</f>
        <v>PBE</v>
      </c>
      <c r="I184" s="134" t="str">
        <f>I64</f>
        <v>TS</v>
      </c>
      <c r="J184" s="179" t="s">
        <v>3</v>
      </c>
      <c r="K184" s="189" t="s">
        <v>4</v>
      </c>
      <c r="L184" s="255" t="s">
        <v>5</v>
      </c>
      <c r="M184" s="66">
        <f>B190+3*1.68514</f>
        <v>7.3890726192796992</v>
      </c>
    </row>
    <row r="185" spans="1:13" x14ac:dyDescent="0.15">
      <c r="A185" s="90">
        <f t="shared" si="24"/>
        <v>-0.23084000499999993</v>
      </c>
      <c r="B185" s="118">
        <f t="shared" si="24"/>
        <v>-568161.34678290912</v>
      </c>
      <c r="C185" s="138">
        <f t="shared" si="24"/>
        <v>-0.16990864924999999</v>
      </c>
      <c r="D185" s="179"/>
      <c r="E185" s="189"/>
      <c r="F185" s="134"/>
      <c r="G185" s="179"/>
      <c r="H185" s="189"/>
      <c r="I185" s="134"/>
      <c r="J185" s="179"/>
      <c r="K185" s="189"/>
      <c r="L185" s="255"/>
      <c r="M185" s="67"/>
    </row>
    <row r="186" spans="1:13" ht="14.25" thickBot="1" x14ac:dyDescent="0.2">
      <c r="A186" s="91"/>
      <c r="B186" s="119"/>
      <c r="C186" s="139"/>
      <c r="D186" s="179"/>
      <c r="E186" s="189"/>
      <c r="F186" s="134"/>
      <c r="G186" s="179"/>
      <c r="H186" s="189"/>
      <c r="I186" s="134"/>
      <c r="J186" s="179"/>
      <c r="K186" s="189"/>
      <c r="L186" s="255"/>
      <c r="M186" s="68"/>
    </row>
    <row r="187" spans="1:13" x14ac:dyDescent="0.15">
      <c r="A187" s="42" t="str">
        <f t="shared" si="24"/>
        <v>MBD</v>
      </c>
      <c r="B187" s="43" t="str">
        <f t="shared" si="24"/>
        <v>PBE</v>
      </c>
      <c r="C187" s="60" t="str">
        <f t="shared" si="24"/>
        <v>TS</v>
      </c>
      <c r="D187" s="179">
        <f t="shared" si="25"/>
        <v>-0.42958807249999997</v>
      </c>
      <c r="E187" s="189">
        <f t="shared" si="25"/>
        <v>-568159.27279550501</v>
      </c>
      <c r="F187" s="134">
        <f t="shared" si="25"/>
        <v>-0.29545744750000003</v>
      </c>
      <c r="G187" s="227">
        <f>-8.84030466</f>
        <v>-8.8403046599999993</v>
      </c>
      <c r="H187" s="236">
        <f>-9588110.86657304+8.84030466</f>
        <v>-9588102.0262683798</v>
      </c>
      <c r="I187" s="238">
        <f>-8.599978439</f>
        <v>-8.5999784389999991</v>
      </c>
      <c r="J187" s="179">
        <f>J157</f>
        <v>-8.9407424599999992</v>
      </c>
      <c r="K187" s="189">
        <f>K157</f>
        <v>-9213597.5541339312</v>
      </c>
      <c r="L187" s="255">
        <f>L157</f>
        <v>-8.8183975179999994</v>
      </c>
      <c r="M187" s="66">
        <f>H190+3*1.68514</f>
        <v>7.4583848867796991</v>
      </c>
    </row>
    <row r="188" spans="1:13" x14ac:dyDescent="0.15">
      <c r="A188" s="92">
        <f t="shared" si="24"/>
        <v>-0.42958807249999997</v>
      </c>
      <c r="B188" s="114">
        <f t="shared" si="24"/>
        <v>-568159.27279550501</v>
      </c>
      <c r="C188" s="134">
        <f t="shared" si="24"/>
        <v>-0.29545744750000003</v>
      </c>
      <c r="D188" s="179"/>
      <c r="E188" s="189"/>
      <c r="F188" s="134"/>
      <c r="G188" s="227"/>
      <c r="H188" s="236"/>
      <c r="I188" s="238"/>
      <c r="J188" s="179"/>
      <c r="K188" s="189"/>
      <c r="L188" s="255"/>
      <c r="M188" s="67"/>
    </row>
    <row r="189" spans="1:13" ht="14.25" thickBot="1" x14ac:dyDescent="0.2">
      <c r="A189" s="93"/>
      <c r="B189" s="115"/>
      <c r="C189" s="135"/>
      <c r="D189" s="180"/>
      <c r="E189" s="190"/>
      <c r="F189" s="214"/>
      <c r="G189" s="228"/>
      <c r="H189" s="237"/>
      <c r="I189" s="243"/>
      <c r="J189" s="180"/>
      <c r="K189" s="190"/>
      <c r="L189" s="273"/>
      <c r="M189" s="68"/>
    </row>
    <row r="190" spans="1:13" x14ac:dyDescent="0.15">
      <c r="A190" s="108" t="s">
        <v>90</v>
      </c>
      <c r="B190" s="121">
        <f>E190+H190</f>
        <v>2.3336526192796994</v>
      </c>
      <c r="C190" s="122"/>
      <c r="D190" s="178" t="s">
        <v>12</v>
      </c>
      <c r="E190" s="194">
        <f>G187-J187-A185+A143</f>
        <v>-6.9312267500000191E-2</v>
      </c>
      <c r="F190" s="195"/>
      <c r="G190" s="229" t="s">
        <v>13</v>
      </c>
      <c r="H190" s="194">
        <f>H187-K187-B185+B23+(3)*(-5.57268)</f>
        <v>2.4029648867796993</v>
      </c>
      <c r="I190" s="195"/>
      <c r="J190" s="229" t="s">
        <v>14</v>
      </c>
      <c r="K190" s="194">
        <f>I187-L187-C185+C143+H190</f>
        <v>2.4292452554046995</v>
      </c>
      <c r="L190" s="276"/>
      <c r="M190" s="69">
        <f>K190+3*1.68514</f>
        <v>7.4846652554046997</v>
      </c>
    </row>
    <row r="191" spans="1:13" x14ac:dyDescent="0.15">
      <c r="A191" s="97"/>
      <c r="B191" s="123"/>
      <c r="C191" s="124"/>
      <c r="D191" s="123"/>
      <c r="E191" s="123"/>
      <c r="F191" s="124"/>
      <c r="G191" s="124"/>
      <c r="H191" s="123"/>
      <c r="I191" s="124"/>
      <c r="J191" s="124"/>
      <c r="K191" s="123"/>
      <c r="L191" s="268"/>
      <c r="M191" s="70"/>
    </row>
    <row r="192" spans="1:13" ht="14.25" thickBot="1" x14ac:dyDescent="0.2">
      <c r="A192" s="98"/>
      <c r="B192" s="125"/>
      <c r="C192" s="126"/>
      <c r="D192" s="125"/>
      <c r="E192" s="125"/>
      <c r="F192" s="126"/>
      <c r="G192" s="126"/>
      <c r="H192" s="125"/>
      <c r="I192" s="126"/>
      <c r="J192" s="126"/>
      <c r="K192" s="125"/>
      <c r="L192" s="269"/>
      <c r="M192" s="71"/>
    </row>
    <row r="193" spans="1:21" x14ac:dyDescent="0.15">
      <c r="A193" s="109" t="s">
        <v>91</v>
      </c>
      <c r="B193" s="121">
        <f>E193+H193</f>
        <v>-0.47920638564634188</v>
      </c>
      <c r="C193" s="121"/>
      <c r="D193" s="171" t="s">
        <v>15</v>
      </c>
      <c r="E193" s="121">
        <f>G187-J187-D187+A140</f>
        <v>0.22880983374999986</v>
      </c>
      <c r="F193" s="122"/>
      <c r="G193" s="171" t="s">
        <v>16</v>
      </c>
      <c r="H193" s="121">
        <f>H187-K187-E187+B110+(3)*(-5.57268)</f>
        <v>-0.70801621939634174</v>
      </c>
      <c r="I193" s="122"/>
      <c r="J193" s="220" t="s">
        <v>17</v>
      </c>
      <c r="K193" s="121">
        <f>I187-L187-F187+C140+H193</f>
        <v>-0.49341265339634144</v>
      </c>
      <c r="L193" s="267"/>
      <c r="M193" s="69">
        <f>K193+3*1.68514</f>
        <v>4.5620073466036581</v>
      </c>
    </row>
    <row r="194" spans="1:21" x14ac:dyDescent="0.15">
      <c r="A194" s="100"/>
      <c r="B194" s="123"/>
      <c r="C194" s="123"/>
      <c r="D194" s="123"/>
      <c r="E194" s="123"/>
      <c r="F194" s="124"/>
      <c r="G194" s="123"/>
      <c r="H194" s="123"/>
      <c r="I194" s="124"/>
      <c r="J194" s="124"/>
      <c r="K194" s="123"/>
      <c r="L194" s="268"/>
      <c r="M194" s="70"/>
    </row>
    <row r="195" spans="1:21" ht="14.25" thickBot="1" x14ac:dyDescent="0.2">
      <c r="A195" s="110"/>
      <c r="B195" s="127"/>
      <c r="C195" s="127"/>
      <c r="D195" s="125"/>
      <c r="E195" s="125"/>
      <c r="F195" s="126"/>
      <c r="G195" s="125"/>
      <c r="H195" s="125"/>
      <c r="I195" s="126"/>
      <c r="J195" s="126"/>
      <c r="K195" s="125"/>
      <c r="L195" s="269"/>
      <c r="M195" s="71"/>
    </row>
    <row r="200" spans="1:21" x14ac:dyDescent="0.15">
      <c r="A200" s="47">
        <v>0</v>
      </c>
      <c r="D200" s="47">
        <v>1</v>
      </c>
      <c r="G200" s="47">
        <v>-1</v>
      </c>
      <c r="J200" s="47">
        <v>2</v>
      </c>
      <c r="P200" s="47">
        <v>3</v>
      </c>
      <c r="S200" s="47">
        <v>-3</v>
      </c>
    </row>
    <row r="201" spans="1:21" x14ac:dyDescent="0.15">
      <c r="A201" s="48"/>
      <c r="B201" s="48"/>
      <c r="C201" s="49"/>
      <c r="D201" s="50"/>
      <c r="E201" s="48"/>
      <c r="F201" s="49"/>
      <c r="G201" s="50"/>
      <c r="H201" s="48"/>
      <c r="I201" s="49"/>
      <c r="P201" s="48" t="s">
        <v>132</v>
      </c>
      <c r="Q201" s="48"/>
      <c r="R201" s="49"/>
      <c r="S201" s="48" t="s">
        <v>125</v>
      </c>
      <c r="T201" s="48"/>
      <c r="U201" s="49"/>
    </row>
    <row r="202" spans="1:21" x14ac:dyDescent="0.15">
      <c r="A202" s="48"/>
      <c r="B202" s="48">
        <v>0</v>
      </c>
      <c r="C202" s="49"/>
      <c r="D202" s="50"/>
      <c r="E202" s="48">
        <v>1</v>
      </c>
      <c r="F202" s="49"/>
      <c r="G202" s="50"/>
      <c r="H202" s="48">
        <v>-1</v>
      </c>
      <c r="I202" s="49"/>
      <c r="K202">
        <v>2</v>
      </c>
      <c r="P202" s="48"/>
      <c r="Q202" s="48"/>
      <c r="R202" s="49"/>
      <c r="S202" s="48"/>
      <c r="T202" s="48"/>
      <c r="U202" s="49"/>
    </row>
    <row r="203" spans="1:21" x14ac:dyDescent="0.15">
      <c r="A203" s="48"/>
      <c r="B203" s="48"/>
      <c r="C203" s="49"/>
      <c r="D203" s="50"/>
      <c r="E203" s="48"/>
      <c r="F203" s="49"/>
      <c r="G203" s="50"/>
      <c r="H203" s="48"/>
      <c r="I203" s="49"/>
      <c r="N203" s="47">
        <v>-2</v>
      </c>
      <c r="P203" s="48"/>
      <c r="Q203" s="48"/>
      <c r="R203" s="49"/>
      <c r="S203" s="48"/>
      <c r="T203" s="48"/>
      <c r="U203" s="49"/>
    </row>
    <row r="204" spans="1:21" x14ac:dyDescent="0.15">
      <c r="A204" s="51" t="s">
        <v>125</v>
      </c>
      <c r="B204" s="48"/>
      <c r="C204" s="49"/>
      <c r="D204" s="50" t="s">
        <v>132</v>
      </c>
      <c r="E204" s="48"/>
      <c r="F204" s="49"/>
      <c r="G204" s="50" t="s">
        <v>125</v>
      </c>
      <c r="H204" s="48"/>
      <c r="I204" s="49"/>
      <c r="J204" s="50" t="s">
        <v>128</v>
      </c>
      <c r="K204" s="48"/>
      <c r="L204" s="52"/>
      <c r="M204" s="50" t="s">
        <v>125</v>
      </c>
      <c r="N204" s="48"/>
      <c r="O204" s="49"/>
      <c r="P204" s="48" t="s">
        <v>111</v>
      </c>
      <c r="Q204" s="48" t="s">
        <v>4</v>
      </c>
      <c r="R204" s="49" t="s">
        <v>5</v>
      </c>
      <c r="S204" s="48" t="s">
        <v>111</v>
      </c>
      <c r="T204" s="48" t="s">
        <v>4</v>
      </c>
      <c r="U204" s="49" t="s">
        <v>5</v>
      </c>
    </row>
    <row r="205" spans="1:21" x14ac:dyDescent="0.15">
      <c r="A205" s="48"/>
      <c r="B205" s="48"/>
      <c r="C205" s="49"/>
      <c r="D205" s="50"/>
      <c r="E205" s="48"/>
      <c r="F205" s="49"/>
      <c r="G205" s="50"/>
      <c r="H205" s="48"/>
      <c r="I205" s="49"/>
      <c r="J205" s="50"/>
      <c r="K205" s="48"/>
      <c r="L205" s="49"/>
      <c r="M205" s="50"/>
      <c r="N205" s="48"/>
      <c r="O205" s="49"/>
      <c r="P205" s="48">
        <v>-0.23084000499999993</v>
      </c>
      <c r="Q205" s="48">
        <v>-568161.34678290912</v>
      </c>
      <c r="R205" s="49">
        <v>-0.16990864924999999</v>
      </c>
      <c r="S205" s="48">
        <v>-9.5804887499999977E-2</v>
      </c>
      <c r="T205" s="48">
        <v>-193638.79063727582</v>
      </c>
      <c r="U205" s="49">
        <v>-0.14826496087499999</v>
      </c>
    </row>
    <row r="206" spans="1:21" x14ac:dyDescent="0.15">
      <c r="A206" s="48"/>
      <c r="B206" s="48"/>
      <c r="C206" s="49"/>
      <c r="D206" s="50"/>
      <c r="E206" s="48"/>
      <c r="F206" s="49"/>
      <c r="G206" s="50"/>
      <c r="H206" s="48"/>
      <c r="I206" s="49"/>
      <c r="J206" s="50"/>
      <c r="K206" s="48"/>
      <c r="L206" s="49"/>
      <c r="M206" s="50"/>
      <c r="N206" s="48"/>
      <c r="O206" s="49"/>
      <c r="P206" s="48"/>
      <c r="Q206" s="48"/>
      <c r="R206" s="49"/>
      <c r="S206" s="48"/>
      <c r="T206" s="48"/>
      <c r="U206" s="49"/>
    </row>
    <row r="207" spans="1:21" x14ac:dyDescent="0.15">
      <c r="A207" s="48" t="s">
        <v>111</v>
      </c>
      <c r="B207" s="48" t="s">
        <v>4</v>
      </c>
      <c r="C207" s="49" t="s">
        <v>5</v>
      </c>
      <c r="D207" s="50" t="s">
        <v>111</v>
      </c>
      <c r="E207" s="48" t="s">
        <v>4</v>
      </c>
      <c r="F207" s="49" t="s">
        <v>5</v>
      </c>
      <c r="G207" s="50" t="s">
        <v>111</v>
      </c>
      <c r="H207" s="48" t="s">
        <v>4</v>
      </c>
      <c r="I207" s="49" t="s">
        <v>5</v>
      </c>
      <c r="J207" s="50" t="s">
        <v>111</v>
      </c>
      <c r="K207" s="48" t="s">
        <v>4</v>
      </c>
      <c r="L207" s="49" t="s">
        <v>5</v>
      </c>
      <c r="M207" s="50" t="s">
        <v>111</v>
      </c>
      <c r="N207" s="48" t="s">
        <v>4</v>
      </c>
      <c r="O207" s="49" t="s">
        <v>5</v>
      </c>
      <c r="P207" s="48" t="s">
        <v>111</v>
      </c>
      <c r="Q207" s="48" t="s">
        <v>4</v>
      </c>
      <c r="R207" s="49" t="s">
        <v>5</v>
      </c>
      <c r="S207" s="48" t="s">
        <v>111</v>
      </c>
      <c r="T207" s="48" t="s">
        <v>4</v>
      </c>
      <c r="U207" s="49" t="s">
        <v>5</v>
      </c>
    </row>
    <row r="208" spans="1:21" x14ac:dyDescent="0.15">
      <c r="A208" s="48">
        <v>-9.5804887499999977E-2</v>
      </c>
      <c r="B208" s="48">
        <v>-193638.79063727582</v>
      </c>
      <c r="C208" s="49">
        <v>-0.14826496087499999</v>
      </c>
      <c r="D208" s="50">
        <v>-0.23084000499999993</v>
      </c>
      <c r="E208" s="48">
        <v>-568161.34678290912</v>
      </c>
      <c r="F208" s="49">
        <v>-0.16990864924999999</v>
      </c>
      <c r="G208" s="50">
        <v>-9.5804887499999977E-2</v>
      </c>
      <c r="H208" s="48">
        <v>-193638.79063727582</v>
      </c>
      <c r="I208" s="49">
        <v>-0.14826496087499999</v>
      </c>
      <c r="J208" s="50">
        <v>-0.30121603875000003</v>
      </c>
      <c r="K208" s="48">
        <v>-2625.0865531095769</v>
      </c>
      <c r="L208" s="49">
        <v>-0.29927296049999996</v>
      </c>
      <c r="M208" s="50">
        <v>-9.5804887499999977E-2</v>
      </c>
      <c r="N208" s="48">
        <v>-193638.79063727582</v>
      </c>
      <c r="O208" s="49">
        <v>-0.14826496087499999</v>
      </c>
      <c r="P208" s="48">
        <v>-0.42958807249999997</v>
      </c>
      <c r="Q208" s="48">
        <v>-568159.27279550501</v>
      </c>
      <c r="R208" s="49">
        <v>-0.29545744750000003</v>
      </c>
      <c r="S208" s="48">
        <v>-0.19517892125</v>
      </c>
      <c r="T208" s="48">
        <v>-193637.75364357376</v>
      </c>
      <c r="U208" s="49">
        <v>-0.21103936000000001</v>
      </c>
    </row>
    <row r="209" spans="1:21" x14ac:dyDescent="0.15">
      <c r="A209" s="48"/>
      <c r="B209" s="48"/>
      <c r="C209" s="49"/>
      <c r="D209" s="50"/>
      <c r="E209" s="48"/>
      <c r="F209" s="49"/>
      <c r="G209" s="50"/>
      <c r="H209" s="48"/>
      <c r="I209" s="49"/>
      <c r="J209" s="50"/>
      <c r="K209" s="48"/>
      <c r="L209" s="49"/>
      <c r="M209" s="50"/>
      <c r="N209" s="48"/>
      <c r="O209" s="49"/>
      <c r="P209" s="48"/>
      <c r="Q209" s="48"/>
      <c r="R209" s="49"/>
      <c r="S209" s="48"/>
      <c r="T209" s="48"/>
      <c r="U209" s="49"/>
    </row>
    <row r="210" spans="1:21" x14ac:dyDescent="0.15">
      <c r="A210" s="48" t="s">
        <v>111</v>
      </c>
      <c r="B210" s="48" t="s">
        <v>4</v>
      </c>
      <c r="C210" s="49" t="s">
        <v>5</v>
      </c>
      <c r="D210" s="50" t="s">
        <v>111</v>
      </c>
      <c r="E210" s="48" t="s">
        <v>4</v>
      </c>
      <c r="F210" s="49" t="s">
        <v>5</v>
      </c>
      <c r="G210" s="50" t="s">
        <v>111</v>
      </c>
      <c r="H210" s="48" t="s">
        <v>4</v>
      </c>
      <c r="I210" s="49" t="s">
        <v>5</v>
      </c>
      <c r="J210" s="50" t="s">
        <v>111</v>
      </c>
      <c r="K210" s="48" t="s">
        <v>4</v>
      </c>
      <c r="L210" s="49" t="s">
        <v>5</v>
      </c>
      <c r="M210" s="50" t="s">
        <v>111</v>
      </c>
      <c r="N210" s="48" t="s">
        <v>4</v>
      </c>
      <c r="O210" s="49" t="s">
        <v>5</v>
      </c>
      <c r="P210" s="48" t="s">
        <v>131</v>
      </c>
      <c r="Q210" s="48">
        <v>2.3336526192796994</v>
      </c>
      <c r="R210" s="49"/>
      <c r="S210" s="48" t="s">
        <v>126</v>
      </c>
      <c r="T210" s="48">
        <v>6.5675401062732099</v>
      </c>
      <c r="U210" s="49"/>
    </row>
    <row r="211" spans="1:21" x14ac:dyDescent="0.15">
      <c r="A211" s="48">
        <v>-0.19517892125</v>
      </c>
      <c r="B211" s="48">
        <v>-193637.75364357376</v>
      </c>
      <c r="C211" s="49">
        <v>-0.21103936000000001</v>
      </c>
      <c r="D211" s="50">
        <v>-0.42958807249999997</v>
      </c>
      <c r="E211" s="48">
        <v>-568159.27279550501</v>
      </c>
      <c r="F211" s="49">
        <v>-0.29545744750000003</v>
      </c>
      <c r="G211" s="50">
        <v>-0.19517892125</v>
      </c>
      <c r="H211" s="48">
        <v>-193637.75364357376</v>
      </c>
      <c r="I211" s="49">
        <v>-0.21103936000000001</v>
      </c>
      <c r="J211" s="50">
        <v>-0.40059007250000001</v>
      </c>
      <c r="K211" s="48">
        <v>-2624.0495594075182</v>
      </c>
      <c r="L211" s="49">
        <v>-0.3620473596249999</v>
      </c>
      <c r="M211" s="50">
        <v>-0.19517892125</v>
      </c>
      <c r="N211" s="48">
        <v>-193637.75364357376</v>
      </c>
      <c r="O211" s="49">
        <v>-0.21103936000000001</v>
      </c>
      <c r="P211" s="48"/>
      <c r="Q211" s="48"/>
      <c r="R211" s="49"/>
      <c r="S211" s="48"/>
      <c r="T211" s="48"/>
      <c r="U211" s="49"/>
    </row>
    <row r="212" spans="1:21" x14ac:dyDescent="0.15">
      <c r="A212" s="48"/>
      <c r="B212" s="48"/>
      <c r="C212" s="49"/>
      <c r="D212" s="50"/>
      <c r="E212" s="48"/>
      <c r="F212" s="49"/>
      <c r="G212" s="50"/>
      <c r="H212" s="48"/>
      <c r="I212" s="49"/>
      <c r="J212" s="50"/>
      <c r="K212" s="48"/>
      <c r="L212" s="49"/>
      <c r="M212" s="50"/>
      <c r="N212" s="48"/>
      <c r="O212" s="49"/>
      <c r="P212" s="48"/>
      <c r="Q212" s="48"/>
      <c r="R212" s="49"/>
      <c r="S212" s="48"/>
      <c r="T212" s="48"/>
      <c r="U212" s="49"/>
    </row>
    <row r="213" spans="1:21" x14ac:dyDescent="0.15">
      <c r="A213" s="48" t="s">
        <v>126</v>
      </c>
      <c r="B213" s="48">
        <v>3.7744812762066533</v>
      </c>
      <c r="C213" s="49"/>
      <c r="D213" s="50" t="s">
        <v>131</v>
      </c>
      <c r="E213" s="48">
        <v>4.0711187507569235</v>
      </c>
      <c r="F213" s="49"/>
      <c r="G213" s="50" t="s">
        <v>126</v>
      </c>
      <c r="H213" s="48">
        <v>4.3637228882686356</v>
      </c>
      <c r="I213" s="49"/>
      <c r="J213" s="50" t="s">
        <v>129</v>
      </c>
      <c r="K213" s="48">
        <v>1.1995816747383992</v>
      </c>
      <c r="L213" s="49"/>
      <c r="M213" s="50" t="s">
        <v>126</v>
      </c>
      <c r="N213" s="48">
        <v>5.2343248886670413</v>
      </c>
      <c r="O213" s="49"/>
      <c r="P213" s="48" t="s">
        <v>133</v>
      </c>
      <c r="Q213" s="48">
        <v>-0.47920638564634188</v>
      </c>
      <c r="R213" s="49"/>
      <c r="S213" s="48" t="s">
        <v>127</v>
      </c>
      <c r="T213" s="48">
        <v>3.7546811013471686</v>
      </c>
      <c r="U213" s="49"/>
    </row>
    <row r="214" spans="1:21" x14ac:dyDescent="0.15">
      <c r="A214" s="48"/>
      <c r="B214" s="48"/>
      <c r="C214" s="49"/>
      <c r="D214" s="50"/>
      <c r="E214" s="48"/>
      <c r="F214" s="49"/>
      <c r="G214" s="50"/>
      <c r="H214" s="48"/>
      <c r="I214" s="49"/>
      <c r="J214" s="50"/>
      <c r="K214" s="48"/>
      <c r="L214" s="49"/>
      <c r="M214" s="50"/>
      <c r="N214" s="48"/>
      <c r="O214" s="49"/>
      <c r="P214" s="48"/>
      <c r="Q214" s="48"/>
      <c r="R214" s="49"/>
      <c r="S214" s="48"/>
      <c r="T214" s="48"/>
      <c r="U214" s="49"/>
    </row>
    <row r="215" spans="1:21" x14ac:dyDescent="0.15">
      <c r="A215" s="48"/>
      <c r="B215" s="48"/>
      <c r="C215" s="49"/>
      <c r="D215" s="50"/>
      <c r="E215" s="48"/>
      <c r="F215" s="49"/>
      <c r="G215" s="50"/>
      <c r="H215" s="48"/>
      <c r="I215" s="49"/>
      <c r="J215" s="50"/>
      <c r="K215" s="48"/>
      <c r="L215" s="49"/>
      <c r="M215" s="50"/>
      <c r="N215" s="48"/>
      <c r="O215" s="49"/>
      <c r="P215" s="48"/>
      <c r="Q215" s="48"/>
      <c r="R215" s="49"/>
    </row>
    <row r="216" spans="1:21" x14ac:dyDescent="0.15">
      <c r="A216" s="48" t="s">
        <v>127</v>
      </c>
      <c r="B216" s="48">
        <v>0.96162227128061251</v>
      </c>
      <c r="C216" s="49"/>
      <c r="D216" s="50" t="s">
        <v>133</v>
      </c>
      <c r="E216" s="48">
        <v>1.2582597458308824</v>
      </c>
      <c r="F216" s="49"/>
      <c r="G216" s="50" t="s">
        <v>127</v>
      </c>
      <c r="H216" s="48">
        <v>1.5508638833425943</v>
      </c>
      <c r="I216" s="49"/>
      <c r="J216" s="50" t="s">
        <v>130</v>
      </c>
      <c r="K216" s="48">
        <v>-0.67565766187896159</v>
      </c>
      <c r="L216" s="49"/>
      <c r="M216" s="50" t="s">
        <v>127</v>
      </c>
      <c r="N216" s="48">
        <v>2.4214658837409999</v>
      </c>
      <c r="O216" s="49"/>
    </row>
    <row r="217" spans="1:21" x14ac:dyDescent="0.15">
      <c r="A217" s="48"/>
      <c r="B217" s="48"/>
      <c r="C217" s="49"/>
      <c r="D217" s="50"/>
      <c r="E217" s="48"/>
      <c r="F217" s="49"/>
      <c r="G217" s="50"/>
      <c r="H217" s="48"/>
      <c r="I217" s="49"/>
      <c r="J217" s="50"/>
      <c r="K217" s="48"/>
      <c r="L217" s="49"/>
      <c r="M217" s="50"/>
      <c r="N217" s="48"/>
      <c r="O217" s="49"/>
    </row>
    <row r="218" spans="1:21" x14ac:dyDescent="0.15">
      <c r="A218" s="53"/>
      <c r="D218" s="53"/>
      <c r="E218" s="48"/>
      <c r="F218" s="49"/>
      <c r="G218" s="53"/>
      <c r="H218" s="48"/>
      <c r="I218" s="49"/>
      <c r="J218" s="53"/>
      <c r="K218" s="48"/>
      <c r="L218" s="49"/>
      <c r="M218" s="53"/>
      <c r="N218" s="48"/>
      <c r="O218" s="49"/>
      <c r="P218" s="53">
        <v>3</v>
      </c>
      <c r="S218" s="53">
        <v>-3</v>
      </c>
    </row>
    <row r="220" spans="1:21" x14ac:dyDescent="0.15">
      <c r="M220" s="47">
        <v>3</v>
      </c>
      <c r="O220">
        <f>(N213-Q210)/5</f>
        <v>0.58013445387746843</v>
      </c>
      <c r="P220" s="47">
        <v>-3</v>
      </c>
      <c r="R220">
        <f>(-Q210+T210)/6</f>
        <v>0.70564791449891839</v>
      </c>
    </row>
    <row r="221" spans="1:21" x14ac:dyDescent="0.15">
      <c r="A221" s="47">
        <v>1</v>
      </c>
      <c r="B221">
        <f>B213-E213</f>
        <v>-0.29663747455027023</v>
      </c>
      <c r="D221" s="47">
        <v>-1</v>
      </c>
      <c r="E221">
        <f>(H213-E213)/2</f>
        <v>0.14630206875585605</v>
      </c>
      <c r="G221" s="47">
        <v>2</v>
      </c>
      <c r="I221">
        <f>(H213-K213)/3</f>
        <v>1.0547137378434122</v>
      </c>
      <c r="J221" s="47">
        <v>-2</v>
      </c>
      <c r="L221">
        <f>(N213-K213)/4</f>
        <v>1.0086858034821606</v>
      </c>
    </row>
    <row r="222" spans="1:21" x14ac:dyDescent="0.15">
      <c r="E222">
        <f>(H216-E216)/2</f>
        <v>0.14630206875585594</v>
      </c>
      <c r="I222">
        <f>(H216-K216)/3</f>
        <v>0.74217384840718525</v>
      </c>
      <c r="L222">
        <f>(N216-K216)/4</f>
        <v>0.77428088640499038</v>
      </c>
    </row>
    <row r="224" spans="1:21" x14ac:dyDescent="0.15">
      <c r="M224" s="47">
        <v>-3</v>
      </c>
      <c r="O224">
        <f>T210-N213</f>
        <v>1.3332152176061687</v>
      </c>
    </row>
    <row r="226" spans="1:12" x14ac:dyDescent="0.15">
      <c r="A226" s="47">
        <v>-1</v>
      </c>
      <c r="B226">
        <f>H213-B213</f>
        <v>0.58924161206198233</v>
      </c>
      <c r="D226" s="47">
        <v>2</v>
      </c>
      <c r="E226">
        <f>E216-K216</f>
        <v>1.933917407709844</v>
      </c>
      <c r="G226" s="47">
        <v>-2</v>
      </c>
      <c r="I226">
        <f>N216-H216</f>
        <v>0.87060200039840563</v>
      </c>
      <c r="J226" s="47">
        <v>3</v>
      </c>
      <c r="L226">
        <f>K213-Q210</f>
        <v>-1.1340709445413002</v>
      </c>
    </row>
    <row r="230" spans="1:12" x14ac:dyDescent="0.15">
      <c r="A230" s="47">
        <v>2</v>
      </c>
      <c r="B230">
        <f>(B213-K213)/2</f>
        <v>1.2874498007341271</v>
      </c>
      <c r="D230" s="47">
        <v>-2</v>
      </c>
      <c r="E230">
        <f>(N213-E213)/3</f>
        <v>0.3877353793033726</v>
      </c>
      <c r="G230" s="47">
        <v>3</v>
      </c>
      <c r="I230">
        <f>(H213-Q210)/4</f>
        <v>0.50751756724723407</v>
      </c>
      <c r="J230" s="47">
        <v>-3</v>
      </c>
      <c r="L230">
        <f>(T210-K213)/5</f>
        <v>1.0735916863069623</v>
      </c>
    </row>
    <row r="234" spans="1:12" x14ac:dyDescent="0.15">
      <c r="A234" s="47">
        <v>-2</v>
      </c>
      <c r="B234">
        <f>(N213-B213)/2</f>
        <v>0.72992180623019398</v>
      </c>
      <c r="D234" s="47">
        <v>3</v>
      </c>
      <c r="E234">
        <f>(E213-Q210)/2</f>
        <v>0.86873306573861209</v>
      </c>
      <c r="G234" s="47">
        <v>-3</v>
      </c>
      <c r="I234">
        <f>(-H213+T210)/2</f>
        <v>1.1019086090022872</v>
      </c>
    </row>
    <row r="238" spans="1:12" x14ac:dyDescent="0.15">
      <c r="D238" s="47">
        <v>-3</v>
      </c>
      <c r="E238">
        <f>(T210-E213)/4</f>
        <v>0.6241053388790716</v>
      </c>
    </row>
    <row r="239" spans="1:12" x14ac:dyDescent="0.15">
      <c r="A239" s="47">
        <v>3</v>
      </c>
      <c r="B239">
        <f>(B213-Q210)/3</f>
        <v>0.48027621897565131</v>
      </c>
    </row>
    <row r="243" spans="1:2" x14ac:dyDescent="0.15">
      <c r="A243" s="47">
        <v>-3</v>
      </c>
      <c r="B243">
        <f>(T210-B213)/3</f>
        <v>0.93101961002218558</v>
      </c>
    </row>
  </sheetData>
  <mergeCells count="749">
    <mergeCell ref="A193:A195"/>
    <mergeCell ref="B193:C195"/>
    <mergeCell ref="D193:D195"/>
    <mergeCell ref="E193:F195"/>
    <mergeCell ref="G193:G195"/>
    <mergeCell ref="H193:I195"/>
    <mergeCell ref="J193:J195"/>
    <mergeCell ref="K193:L195"/>
    <mergeCell ref="A188:A189"/>
    <mergeCell ref="B188:B189"/>
    <mergeCell ref="C188:C189"/>
    <mergeCell ref="A190:A192"/>
    <mergeCell ref="B190:C192"/>
    <mergeCell ref="D190:D192"/>
    <mergeCell ref="E190:F192"/>
    <mergeCell ref="G190:G192"/>
    <mergeCell ref="H190:I192"/>
    <mergeCell ref="J190:J192"/>
    <mergeCell ref="K190:L192"/>
    <mergeCell ref="D187:D189"/>
    <mergeCell ref="E187:E189"/>
    <mergeCell ref="F187:F189"/>
    <mergeCell ref="G187:G189"/>
    <mergeCell ref="H187:H189"/>
    <mergeCell ref="I187:I189"/>
    <mergeCell ref="J187:J189"/>
    <mergeCell ref="K187:K189"/>
    <mergeCell ref="L187:L189"/>
    <mergeCell ref="A181:C183"/>
    <mergeCell ref="D181:F183"/>
    <mergeCell ref="G181:I183"/>
    <mergeCell ref="J181:L183"/>
    <mergeCell ref="D184:D186"/>
    <mergeCell ref="E184:E186"/>
    <mergeCell ref="F184:F186"/>
    <mergeCell ref="G184:G186"/>
    <mergeCell ref="H184:H186"/>
    <mergeCell ref="I184:I186"/>
    <mergeCell ref="J184:J186"/>
    <mergeCell ref="K184:K186"/>
    <mergeCell ref="L184:L186"/>
    <mergeCell ref="A185:A186"/>
    <mergeCell ref="B185:B186"/>
    <mergeCell ref="C185:C186"/>
    <mergeCell ref="J175:J177"/>
    <mergeCell ref="K175:L177"/>
    <mergeCell ref="A178:A180"/>
    <mergeCell ref="B178:C180"/>
    <mergeCell ref="D178:D180"/>
    <mergeCell ref="E178:F180"/>
    <mergeCell ref="G178:G180"/>
    <mergeCell ref="H178:I180"/>
    <mergeCell ref="J178:J180"/>
    <mergeCell ref="K178:L180"/>
    <mergeCell ref="A175:A177"/>
    <mergeCell ref="B175:C177"/>
    <mergeCell ref="D175:D177"/>
    <mergeCell ref="E175:F177"/>
    <mergeCell ref="G175:G177"/>
    <mergeCell ref="H175:I177"/>
    <mergeCell ref="D172:D174"/>
    <mergeCell ref="E172:E174"/>
    <mergeCell ref="F172:F174"/>
    <mergeCell ref="G172:G174"/>
    <mergeCell ref="H172:H174"/>
    <mergeCell ref="I172:I174"/>
    <mergeCell ref="J172:J174"/>
    <mergeCell ref="K172:K174"/>
    <mergeCell ref="L172:L174"/>
    <mergeCell ref="E169:E171"/>
    <mergeCell ref="F169:F171"/>
    <mergeCell ref="G169:G171"/>
    <mergeCell ref="H169:H171"/>
    <mergeCell ref="I169:I171"/>
    <mergeCell ref="J169:J171"/>
    <mergeCell ref="K169:K171"/>
    <mergeCell ref="L169:L171"/>
    <mergeCell ref="A170:A171"/>
    <mergeCell ref="B170:B171"/>
    <mergeCell ref="C170:C171"/>
    <mergeCell ref="A173:A174"/>
    <mergeCell ref="B173:B174"/>
    <mergeCell ref="C173:C174"/>
    <mergeCell ref="J160:J162"/>
    <mergeCell ref="K160:L162"/>
    <mergeCell ref="A163:A165"/>
    <mergeCell ref="B163:C165"/>
    <mergeCell ref="D163:D165"/>
    <mergeCell ref="E163:F165"/>
    <mergeCell ref="G163:G165"/>
    <mergeCell ref="H163:I165"/>
    <mergeCell ref="J163:J165"/>
    <mergeCell ref="K163:L165"/>
    <mergeCell ref="A160:A162"/>
    <mergeCell ref="B160:C162"/>
    <mergeCell ref="D160:D162"/>
    <mergeCell ref="E160:F162"/>
    <mergeCell ref="G160:G162"/>
    <mergeCell ref="H160:I162"/>
    <mergeCell ref="A166:C168"/>
    <mergeCell ref="D166:F168"/>
    <mergeCell ref="G166:I168"/>
    <mergeCell ref="J166:L168"/>
    <mergeCell ref="D169:D171"/>
    <mergeCell ref="D157:D159"/>
    <mergeCell ref="E157:E159"/>
    <mergeCell ref="F157:F159"/>
    <mergeCell ref="G157:G159"/>
    <mergeCell ref="H157:H159"/>
    <mergeCell ref="I157:I159"/>
    <mergeCell ref="J157:J159"/>
    <mergeCell ref="K157:K159"/>
    <mergeCell ref="L157:L159"/>
    <mergeCell ref="E154:E156"/>
    <mergeCell ref="F154:F156"/>
    <mergeCell ref="G154:G156"/>
    <mergeCell ref="H154:H156"/>
    <mergeCell ref="I154:I156"/>
    <mergeCell ref="J154:J156"/>
    <mergeCell ref="K154:K156"/>
    <mergeCell ref="L154:L156"/>
    <mergeCell ref="A155:A156"/>
    <mergeCell ref="B155:B156"/>
    <mergeCell ref="C155:C156"/>
    <mergeCell ref="A158:A159"/>
    <mergeCell ref="B158:B159"/>
    <mergeCell ref="C158:C159"/>
    <mergeCell ref="J145:J147"/>
    <mergeCell ref="K145:L147"/>
    <mergeCell ref="A148:A150"/>
    <mergeCell ref="B148:C150"/>
    <mergeCell ref="D148:D150"/>
    <mergeCell ref="E148:F150"/>
    <mergeCell ref="G148:G150"/>
    <mergeCell ref="H148:I150"/>
    <mergeCell ref="J148:J150"/>
    <mergeCell ref="K148:L150"/>
    <mergeCell ref="A145:A147"/>
    <mergeCell ref="B145:C147"/>
    <mergeCell ref="D145:D147"/>
    <mergeCell ref="E145:F147"/>
    <mergeCell ref="G145:G147"/>
    <mergeCell ref="H145:I147"/>
    <mergeCell ref="A151:C153"/>
    <mergeCell ref="D151:F153"/>
    <mergeCell ref="G151:I153"/>
    <mergeCell ref="J151:L153"/>
    <mergeCell ref="D154:D156"/>
    <mergeCell ref="D142:D144"/>
    <mergeCell ref="E142:E144"/>
    <mergeCell ref="F142:F144"/>
    <mergeCell ref="G142:G144"/>
    <mergeCell ref="H142:H144"/>
    <mergeCell ref="I142:I144"/>
    <mergeCell ref="J142:J144"/>
    <mergeCell ref="K142:K144"/>
    <mergeCell ref="L142:L144"/>
    <mergeCell ref="E139:E141"/>
    <mergeCell ref="F139:F141"/>
    <mergeCell ref="G139:G141"/>
    <mergeCell ref="H139:H141"/>
    <mergeCell ref="I139:I141"/>
    <mergeCell ref="J139:J141"/>
    <mergeCell ref="K139:K141"/>
    <mergeCell ref="L139:L141"/>
    <mergeCell ref="A140:A141"/>
    <mergeCell ref="B140:B141"/>
    <mergeCell ref="C140:C141"/>
    <mergeCell ref="A143:A144"/>
    <mergeCell ref="B143:B144"/>
    <mergeCell ref="C143:C144"/>
    <mergeCell ref="J130:J132"/>
    <mergeCell ref="K130:L132"/>
    <mergeCell ref="A133:A135"/>
    <mergeCell ref="B133:C135"/>
    <mergeCell ref="D133:D135"/>
    <mergeCell ref="E133:F135"/>
    <mergeCell ref="G133:G135"/>
    <mergeCell ref="H133:I135"/>
    <mergeCell ref="J133:J135"/>
    <mergeCell ref="K133:L135"/>
    <mergeCell ref="A130:A132"/>
    <mergeCell ref="B130:C132"/>
    <mergeCell ref="D130:D132"/>
    <mergeCell ref="E130:F132"/>
    <mergeCell ref="G130:G132"/>
    <mergeCell ref="H130:I132"/>
    <mergeCell ref="A136:C138"/>
    <mergeCell ref="D136:F138"/>
    <mergeCell ref="G136:I138"/>
    <mergeCell ref="J136:L138"/>
    <mergeCell ref="D139:D141"/>
    <mergeCell ref="D127:D129"/>
    <mergeCell ref="E127:E129"/>
    <mergeCell ref="F127:F129"/>
    <mergeCell ref="G127:G129"/>
    <mergeCell ref="H127:H129"/>
    <mergeCell ref="I127:I129"/>
    <mergeCell ref="J127:J129"/>
    <mergeCell ref="K127:K129"/>
    <mergeCell ref="L127:L129"/>
    <mergeCell ref="E124:E126"/>
    <mergeCell ref="F124:F126"/>
    <mergeCell ref="G124:G126"/>
    <mergeCell ref="H124:H126"/>
    <mergeCell ref="I124:I126"/>
    <mergeCell ref="J124:J126"/>
    <mergeCell ref="K124:K126"/>
    <mergeCell ref="L124:L126"/>
    <mergeCell ref="A125:A126"/>
    <mergeCell ref="B125:B126"/>
    <mergeCell ref="C125:C126"/>
    <mergeCell ref="A128:A129"/>
    <mergeCell ref="B128:B129"/>
    <mergeCell ref="C128:C129"/>
    <mergeCell ref="J115:J117"/>
    <mergeCell ref="K115:L117"/>
    <mergeCell ref="A118:A120"/>
    <mergeCell ref="B118:C120"/>
    <mergeCell ref="D118:D120"/>
    <mergeCell ref="E118:F120"/>
    <mergeCell ref="G118:G120"/>
    <mergeCell ref="H118:I120"/>
    <mergeCell ref="J118:J120"/>
    <mergeCell ref="K118:L120"/>
    <mergeCell ref="A115:A117"/>
    <mergeCell ref="B115:C117"/>
    <mergeCell ref="D115:D117"/>
    <mergeCell ref="E115:F117"/>
    <mergeCell ref="G115:G117"/>
    <mergeCell ref="H115:I117"/>
    <mergeCell ref="A121:C123"/>
    <mergeCell ref="D121:F123"/>
    <mergeCell ref="G121:I123"/>
    <mergeCell ref="J121:L123"/>
    <mergeCell ref="D124:D126"/>
    <mergeCell ref="D112:D114"/>
    <mergeCell ref="E112:E114"/>
    <mergeCell ref="F112:F114"/>
    <mergeCell ref="G112:G114"/>
    <mergeCell ref="H112:H114"/>
    <mergeCell ref="I112:I114"/>
    <mergeCell ref="J112:J114"/>
    <mergeCell ref="K112:K114"/>
    <mergeCell ref="L112:L114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A110:A111"/>
    <mergeCell ref="B110:B111"/>
    <mergeCell ref="C110:C111"/>
    <mergeCell ref="A113:A114"/>
    <mergeCell ref="B113:B114"/>
    <mergeCell ref="C113:C114"/>
    <mergeCell ref="J100:J102"/>
    <mergeCell ref="K100:L102"/>
    <mergeCell ref="A103:A105"/>
    <mergeCell ref="B103:C105"/>
    <mergeCell ref="D103:D105"/>
    <mergeCell ref="E103:F105"/>
    <mergeCell ref="G103:G105"/>
    <mergeCell ref="H103:I105"/>
    <mergeCell ref="J103:J105"/>
    <mergeCell ref="K103:L105"/>
    <mergeCell ref="A100:A102"/>
    <mergeCell ref="B100:C102"/>
    <mergeCell ref="D100:D102"/>
    <mergeCell ref="E100:F102"/>
    <mergeCell ref="G100:G102"/>
    <mergeCell ref="H100:I102"/>
    <mergeCell ref="A106:C108"/>
    <mergeCell ref="D106:F108"/>
    <mergeCell ref="G106:I108"/>
    <mergeCell ref="J106:L108"/>
    <mergeCell ref="D109:D111"/>
    <mergeCell ref="D97:D99"/>
    <mergeCell ref="E97:E99"/>
    <mergeCell ref="F97:F99"/>
    <mergeCell ref="G97:G99"/>
    <mergeCell ref="H97:H99"/>
    <mergeCell ref="I97:I99"/>
    <mergeCell ref="J97:J99"/>
    <mergeCell ref="K97:K99"/>
    <mergeCell ref="L97:L99"/>
    <mergeCell ref="A91:C93"/>
    <mergeCell ref="D91:F93"/>
    <mergeCell ref="G91:I93"/>
    <mergeCell ref="J91:L93"/>
    <mergeCell ref="D94:D96"/>
    <mergeCell ref="E94:E96"/>
    <mergeCell ref="F94:F96"/>
    <mergeCell ref="G94:G96"/>
    <mergeCell ref="H94:H96"/>
    <mergeCell ref="I94:I96"/>
    <mergeCell ref="J94:J96"/>
    <mergeCell ref="K94:K96"/>
    <mergeCell ref="L94:L96"/>
    <mergeCell ref="A95:A96"/>
    <mergeCell ref="B95:B96"/>
    <mergeCell ref="C95:C96"/>
    <mergeCell ref="A98:A99"/>
    <mergeCell ref="B98:B99"/>
    <mergeCell ref="C98:C99"/>
    <mergeCell ref="A1:C3"/>
    <mergeCell ref="D1:F3"/>
    <mergeCell ref="G1:I3"/>
    <mergeCell ref="J1:L3"/>
    <mergeCell ref="A16:C18"/>
    <mergeCell ref="D16:F18"/>
    <mergeCell ref="G16:I18"/>
    <mergeCell ref="J16:L18"/>
    <mergeCell ref="B10:C12"/>
    <mergeCell ref="H10:I12"/>
    <mergeCell ref="E10:F12"/>
    <mergeCell ref="K10:L12"/>
    <mergeCell ref="B13:C15"/>
    <mergeCell ref="H13:I15"/>
    <mergeCell ref="E13:F15"/>
    <mergeCell ref="K13:L15"/>
    <mergeCell ref="L4:L6"/>
    <mergeCell ref="L7:L9"/>
    <mergeCell ref="K4:K6"/>
    <mergeCell ref="K7:K9"/>
    <mergeCell ref="I4:I6"/>
    <mergeCell ref="I7:I9"/>
    <mergeCell ref="F4:F6"/>
    <mergeCell ref="F7:F9"/>
    <mergeCell ref="U98:U100"/>
    <mergeCell ref="U101:U103"/>
    <mergeCell ref="U104:U106"/>
    <mergeCell ref="U107:U109"/>
    <mergeCell ref="U110:U112"/>
    <mergeCell ref="T71:T73"/>
    <mergeCell ref="T74:T76"/>
    <mergeCell ref="T77:T79"/>
    <mergeCell ref="T80:T82"/>
    <mergeCell ref="T83:T85"/>
    <mergeCell ref="U71:U73"/>
    <mergeCell ref="U74:U76"/>
    <mergeCell ref="U77:U79"/>
    <mergeCell ref="U80:U82"/>
    <mergeCell ref="U83:U85"/>
    <mergeCell ref="U86:U88"/>
    <mergeCell ref="U89:U91"/>
    <mergeCell ref="U92:U94"/>
    <mergeCell ref="U95:U97"/>
    <mergeCell ref="T86:T88"/>
    <mergeCell ref="T89:T91"/>
    <mergeCell ref="T92:T94"/>
    <mergeCell ref="T95:T97"/>
    <mergeCell ref="R98:R100"/>
    <mergeCell ref="R101:R103"/>
    <mergeCell ref="R104:R106"/>
    <mergeCell ref="R107:R109"/>
    <mergeCell ref="R110:R112"/>
    <mergeCell ref="S98:S100"/>
    <mergeCell ref="S101:S103"/>
    <mergeCell ref="S104:S106"/>
    <mergeCell ref="S107:S109"/>
    <mergeCell ref="S110:S112"/>
    <mergeCell ref="T98:T100"/>
    <mergeCell ref="T101:T103"/>
    <mergeCell ref="T104:T106"/>
    <mergeCell ref="T107:T109"/>
    <mergeCell ref="T110:T112"/>
    <mergeCell ref="S71:S73"/>
    <mergeCell ref="S74:S76"/>
    <mergeCell ref="S77:S79"/>
    <mergeCell ref="S80:S82"/>
    <mergeCell ref="S83:S85"/>
    <mergeCell ref="S86:S88"/>
    <mergeCell ref="S89:S91"/>
    <mergeCell ref="S92:S94"/>
    <mergeCell ref="S95:S97"/>
    <mergeCell ref="R71:R73"/>
    <mergeCell ref="R74:R76"/>
    <mergeCell ref="R77:R79"/>
    <mergeCell ref="R80:R82"/>
    <mergeCell ref="R83:R85"/>
    <mergeCell ref="R86:R88"/>
    <mergeCell ref="R89:R91"/>
    <mergeCell ref="R92:R94"/>
    <mergeCell ref="R95:R97"/>
    <mergeCell ref="P104:P106"/>
    <mergeCell ref="P107:P109"/>
    <mergeCell ref="P110:P112"/>
    <mergeCell ref="Q71:Q73"/>
    <mergeCell ref="Q74:Q76"/>
    <mergeCell ref="Q77:Q79"/>
    <mergeCell ref="Q80:Q82"/>
    <mergeCell ref="Q83:Q85"/>
    <mergeCell ref="Q86:Q88"/>
    <mergeCell ref="Q89:Q91"/>
    <mergeCell ref="Q92:Q94"/>
    <mergeCell ref="Q95:Q97"/>
    <mergeCell ref="Q98:Q100"/>
    <mergeCell ref="Q101:Q103"/>
    <mergeCell ref="Q104:Q106"/>
    <mergeCell ref="Q107:Q109"/>
    <mergeCell ref="Q110:Q112"/>
    <mergeCell ref="P71:P73"/>
    <mergeCell ref="P74:P76"/>
    <mergeCell ref="P77:P79"/>
    <mergeCell ref="P80:P82"/>
    <mergeCell ref="P83:P85"/>
    <mergeCell ref="P86:P88"/>
    <mergeCell ref="P89:P91"/>
    <mergeCell ref="P92:P94"/>
    <mergeCell ref="P95:P97"/>
    <mergeCell ref="N89:N91"/>
    <mergeCell ref="N92:N94"/>
    <mergeCell ref="N95:N97"/>
    <mergeCell ref="N98:N100"/>
    <mergeCell ref="N101:N103"/>
    <mergeCell ref="P98:P100"/>
    <mergeCell ref="P101:P103"/>
    <mergeCell ref="N104:N106"/>
    <mergeCell ref="N107:N109"/>
    <mergeCell ref="N110:N112"/>
    <mergeCell ref="O71:O73"/>
    <mergeCell ref="O74:O76"/>
    <mergeCell ref="O77:O79"/>
    <mergeCell ref="O80:O82"/>
    <mergeCell ref="O83:O85"/>
    <mergeCell ref="O86:O88"/>
    <mergeCell ref="O89:O91"/>
    <mergeCell ref="O92:O94"/>
    <mergeCell ref="O95:O97"/>
    <mergeCell ref="O98:O100"/>
    <mergeCell ref="O101:O103"/>
    <mergeCell ref="O104:O106"/>
    <mergeCell ref="O107:O109"/>
    <mergeCell ref="O110:O112"/>
    <mergeCell ref="L67:L69"/>
    <mergeCell ref="L79:L81"/>
    <mergeCell ref="L82:L84"/>
    <mergeCell ref="N71:N73"/>
    <mergeCell ref="N74:N76"/>
    <mergeCell ref="N77:N79"/>
    <mergeCell ref="N80:N82"/>
    <mergeCell ref="N83:N85"/>
    <mergeCell ref="N86:N88"/>
    <mergeCell ref="K70:L72"/>
    <mergeCell ref="K73:L75"/>
    <mergeCell ref="J76:L78"/>
    <mergeCell ref="K85:L87"/>
    <mergeCell ref="K88:L90"/>
    <mergeCell ref="J82:J84"/>
    <mergeCell ref="J85:J87"/>
    <mergeCell ref="J88:J90"/>
    <mergeCell ref="K67:K69"/>
    <mergeCell ref="K79:K81"/>
    <mergeCell ref="K82:K84"/>
    <mergeCell ref="M82:M84"/>
    <mergeCell ref="M85:M87"/>
    <mergeCell ref="M88:M90"/>
    <mergeCell ref="L19:L21"/>
    <mergeCell ref="L22:L24"/>
    <mergeCell ref="L34:L36"/>
    <mergeCell ref="L37:L39"/>
    <mergeCell ref="L49:L51"/>
    <mergeCell ref="L52:L54"/>
    <mergeCell ref="L64:L66"/>
    <mergeCell ref="J31:L33"/>
    <mergeCell ref="J46:L48"/>
    <mergeCell ref="K25:L27"/>
    <mergeCell ref="K28:L30"/>
    <mergeCell ref="K40:L42"/>
    <mergeCell ref="K43:L45"/>
    <mergeCell ref="K55:L57"/>
    <mergeCell ref="K58:L60"/>
    <mergeCell ref="J61:L63"/>
    <mergeCell ref="K19:K21"/>
    <mergeCell ref="K22:K24"/>
    <mergeCell ref="K34:K36"/>
    <mergeCell ref="K37:K39"/>
    <mergeCell ref="K49:K51"/>
    <mergeCell ref="K52:K54"/>
    <mergeCell ref="K64:K66"/>
    <mergeCell ref="I67:I69"/>
    <mergeCell ref="I79:I81"/>
    <mergeCell ref="I82:I84"/>
    <mergeCell ref="J4:J6"/>
    <mergeCell ref="J7:J9"/>
    <mergeCell ref="J10:J12"/>
    <mergeCell ref="J13:J15"/>
    <mergeCell ref="J19:J21"/>
    <mergeCell ref="J22:J24"/>
    <mergeCell ref="J25:J27"/>
    <mergeCell ref="J28:J30"/>
    <mergeCell ref="J34:J36"/>
    <mergeCell ref="J37:J39"/>
    <mergeCell ref="J40:J42"/>
    <mergeCell ref="J43:J45"/>
    <mergeCell ref="J49:J51"/>
    <mergeCell ref="J52:J54"/>
    <mergeCell ref="J55:J57"/>
    <mergeCell ref="J58:J60"/>
    <mergeCell ref="J64:J66"/>
    <mergeCell ref="J67:J69"/>
    <mergeCell ref="J70:J72"/>
    <mergeCell ref="J73:J75"/>
    <mergeCell ref="J79:J81"/>
    <mergeCell ref="I49:I51"/>
    <mergeCell ref="I52:I54"/>
    <mergeCell ref="I64:I66"/>
    <mergeCell ref="G31:I33"/>
    <mergeCell ref="G46:I48"/>
    <mergeCell ref="H25:I27"/>
    <mergeCell ref="H28:I30"/>
    <mergeCell ref="H40:I42"/>
    <mergeCell ref="H43:I45"/>
    <mergeCell ref="H55:I57"/>
    <mergeCell ref="H58:I60"/>
    <mergeCell ref="G61:I63"/>
    <mergeCell ref="G82:G84"/>
    <mergeCell ref="G85:G87"/>
    <mergeCell ref="G88:G90"/>
    <mergeCell ref="H4:H6"/>
    <mergeCell ref="H7:H9"/>
    <mergeCell ref="H19:H21"/>
    <mergeCell ref="H22:H24"/>
    <mergeCell ref="H34:H36"/>
    <mergeCell ref="H37:H39"/>
    <mergeCell ref="H49:H51"/>
    <mergeCell ref="H52:H54"/>
    <mergeCell ref="H64:H66"/>
    <mergeCell ref="H67:H69"/>
    <mergeCell ref="H79:H81"/>
    <mergeCell ref="H82:H84"/>
    <mergeCell ref="H70:I72"/>
    <mergeCell ref="H73:I75"/>
    <mergeCell ref="G76:I78"/>
    <mergeCell ref="H85:I87"/>
    <mergeCell ref="H88:I90"/>
    <mergeCell ref="I19:I21"/>
    <mergeCell ref="I22:I24"/>
    <mergeCell ref="I34:I36"/>
    <mergeCell ref="I37:I39"/>
    <mergeCell ref="F67:F69"/>
    <mergeCell ref="F79:F81"/>
    <mergeCell ref="F82:F84"/>
    <mergeCell ref="G4:G6"/>
    <mergeCell ref="G7:G9"/>
    <mergeCell ref="G10:G12"/>
    <mergeCell ref="G13:G15"/>
    <mergeCell ref="G19:G21"/>
    <mergeCell ref="G22:G24"/>
    <mergeCell ref="G25:G27"/>
    <mergeCell ref="G28:G30"/>
    <mergeCell ref="G34:G36"/>
    <mergeCell ref="G37:G39"/>
    <mergeCell ref="G40:G42"/>
    <mergeCell ref="G43:G45"/>
    <mergeCell ref="G49:G51"/>
    <mergeCell ref="G52:G54"/>
    <mergeCell ref="G55:G57"/>
    <mergeCell ref="G58:G60"/>
    <mergeCell ref="G64:G66"/>
    <mergeCell ref="G67:G69"/>
    <mergeCell ref="G70:G72"/>
    <mergeCell ref="G73:G75"/>
    <mergeCell ref="G79:G81"/>
    <mergeCell ref="F49:F51"/>
    <mergeCell ref="F52:F54"/>
    <mergeCell ref="F64:F66"/>
    <mergeCell ref="D31:F33"/>
    <mergeCell ref="D46:F48"/>
    <mergeCell ref="E25:F27"/>
    <mergeCell ref="E28:F30"/>
    <mergeCell ref="E40:F42"/>
    <mergeCell ref="E43:F45"/>
    <mergeCell ref="E55:F57"/>
    <mergeCell ref="E58:F60"/>
    <mergeCell ref="D61:F63"/>
    <mergeCell ref="D82:D84"/>
    <mergeCell ref="D85:D87"/>
    <mergeCell ref="D88:D90"/>
    <mergeCell ref="E4:E6"/>
    <mergeCell ref="E7:E9"/>
    <mergeCell ref="E19:E21"/>
    <mergeCell ref="E22:E24"/>
    <mergeCell ref="E34:E36"/>
    <mergeCell ref="E37:E39"/>
    <mergeCell ref="E49:E51"/>
    <mergeCell ref="E52:E54"/>
    <mergeCell ref="E64:E66"/>
    <mergeCell ref="E67:E69"/>
    <mergeCell ref="E79:E81"/>
    <mergeCell ref="E82:E84"/>
    <mergeCell ref="E70:F72"/>
    <mergeCell ref="E73:F75"/>
    <mergeCell ref="D76:F78"/>
    <mergeCell ref="E85:F87"/>
    <mergeCell ref="E88:F90"/>
    <mergeCell ref="F19:F21"/>
    <mergeCell ref="F22:F24"/>
    <mergeCell ref="F34:F36"/>
    <mergeCell ref="F37:F39"/>
    <mergeCell ref="C68:C69"/>
    <mergeCell ref="C80:C81"/>
    <mergeCell ref="C83:C84"/>
    <mergeCell ref="D4:D6"/>
    <mergeCell ref="D7:D9"/>
    <mergeCell ref="D10:D12"/>
    <mergeCell ref="D13:D15"/>
    <mergeCell ref="D19:D21"/>
    <mergeCell ref="D22:D24"/>
    <mergeCell ref="D25:D27"/>
    <mergeCell ref="D28:D30"/>
    <mergeCell ref="D34:D36"/>
    <mergeCell ref="D37:D39"/>
    <mergeCell ref="D40:D42"/>
    <mergeCell ref="D43:D45"/>
    <mergeCell ref="D49:D51"/>
    <mergeCell ref="D52:D54"/>
    <mergeCell ref="D55:D57"/>
    <mergeCell ref="D58:D60"/>
    <mergeCell ref="D64:D66"/>
    <mergeCell ref="D67:D69"/>
    <mergeCell ref="D70:D72"/>
    <mergeCell ref="D73:D75"/>
    <mergeCell ref="D79:D81"/>
    <mergeCell ref="C5:C6"/>
    <mergeCell ref="C8:C9"/>
    <mergeCell ref="C20:C21"/>
    <mergeCell ref="C23:C24"/>
    <mergeCell ref="C35:C36"/>
    <mergeCell ref="C38:C39"/>
    <mergeCell ref="C50:C51"/>
    <mergeCell ref="C53:C54"/>
    <mergeCell ref="C65:C66"/>
    <mergeCell ref="A31:C33"/>
    <mergeCell ref="A46:C48"/>
    <mergeCell ref="B25:C27"/>
    <mergeCell ref="B28:C30"/>
    <mergeCell ref="B40:C42"/>
    <mergeCell ref="B43:C45"/>
    <mergeCell ref="B55:C57"/>
    <mergeCell ref="B58:C60"/>
    <mergeCell ref="A61:C63"/>
    <mergeCell ref="A40:A42"/>
    <mergeCell ref="A43:A45"/>
    <mergeCell ref="A50:A51"/>
    <mergeCell ref="A53:A54"/>
    <mergeCell ref="A55:A57"/>
    <mergeCell ref="A58:A60"/>
    <mergeCell ref="A70:A72"/>
    <mergeCell ref="A73:A75"/>
    <mergeCell ref="A80:A81"/>
    <mergeCell ref="A83:A84"/>
    <mergeCell ref="A85:A87"/>
    <mergeCell ref="A88:A90"/>
    <mergeCell ref="B5:B6"/>
    <mergeCell ref="B8:B9"/>
    <mergeCell ref="B20:B21"/>
    <mergeCell ref="B23:B24"/>
    <mergeCell ref="B35:B36"/>
    <mergeCell ref="B38:B39"/>
    <mergeCell ref="B50:B51"/>
    <mergeCell ref="B53:B54"/>
    <mergeCell ref="B65:B66"/>
    <mergeCell ref="B68:B69"/>
    <mergeCell ref="B80:B81"/>
    <mergeCell ref="B83:B84"/>
    <mergeCell ref="B70:C72"/>
    <mergeCell ref="B73:C75"/>
    <mergeCell ref="A76:C78"/>
    <mergeCell ref="B85:C87"/>
    <mergeCell ref="B88:C90"/>
    <mergeCell ref="A38:A39"/>
    <mergeCell ref="A65:A66"/>
    <mergeCell ref="A68:A69"/>
    <mergeCell ref="A5:A6"/>
    <mergeCell ref="A8:A9"/>
    <mergeCell ref="A10:A12"/>
    <mergeCell ref="A13:A15"/>
    <mergeCell ref="A20:A21"/>
    <mergeCell ref="A23:A24"/>
    <mergeCell ref="A25:A27"/>
    <mergeCell ref="A28:A30"/>
    <mergeCell ref="A35:A36"/>
    <mergeCell ref="M1:M3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M31:M33"/>
    <mergeCell ref="M34:M36"/>
    <mergeCell ref="M37:M39"/>
    <mergeCell ref="M40:M42"/>
    <mergeCell ref="M43:M45"/>
    <mergeCell ref="M46:M48"/>
    <mergeCell ref="M49:M51"/>
    <mergeCell ref="M52:M54"/>
    <mergeCell ref="M55:M57"/>
    <mergeCell ref="M58:M60"/>
    <mergeCell ref="M61:M63"/>
    <mergeCell ref="M64:M66"/>
    <mergeCell ref="M67:M69"/>
    <mergeCell ref="M70:M72"/>
    <mergeCell ref="M73:M75"/>
    <mergeCell ref="M76:M78"/>
    <mergeCell ref="M79:M81"/>
    <mergeCell ref="M91:M93"/>
    <mergeCell ref="M94:M96"/>
    <mergeCell ref="M97:M99"/>
    <mergeCell ref="M100:M102"/>
    <mergeCell ref="M103:M105"/>
    <mergeCell ref="M106:M108"/>
    <mergeCell ref="M109:M111"/>
    <mergeCell ref="M112:M114"/>
    <mergeCell ref="M115:M117"/>
    <mergeCell ref="M118:M120"/>
    <mergeCell ref="M121:M123"/>
    <mergeCell ref="M124:M126"/>
    <mergeCell ref="M127:M129"/>
    <mergeCell ref="M130:M132"/>
    <mergeCell ref="M133:M135"/>
    <mergeCell ref="M136:M138"/>
    <mergeCell ref="M139:M141"/>
    <mergeCell ref="M142:M144"/>
    <mergeCell ref="M181:M183"/>
    <mergeCell ref="M184:M186"/>
    <mergeCell ref="M187:M189"/>
    <mergeCell ref="M190:M192"/>
    <mergeCell ref="M193:M195"/>
    <mergeCell ref="M172:M174"/>
    <mergeCell ref="M175:M177"/>
    <mergeCell ref="M178:M180"/>
    <mergeCell ref="M145:M147"/>
    <mergeCell ref="M148:M150"/>
    <mergeCell ref="M151:M153"/>
    <mergeCell ref="M154:M156"/>
    <mergeCell ref="M157:M159"/>
    <mergeCell ref="M160:M162"/>
    <mergeCell ref="M163:M165"/>
    <mergeCell ref="M166:M168"/>
    <mergeCell ref="M169:M171"/>
  </mergeCells>
  <phoneticPr fontId="29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D1" workbookViewId="0">
      <selection activeCell="N22" sqref="N22:O23"/>
    </sheetView>
  </sheetViews>
  <sheetFormatPr defaultColWidth="9" defaultRowHeight="13.5" x14ac:dyDescent="0.15"/>
  <cols>
    <col min="1" max="1" width="9" customWidth="1"/>
    <col min="2" max="2" width="19.875" customWidth="1"/>
    <col min="3" max="3" width="18.75" customWidth="1"/>
    <col min="4" max="4" width="17.625" customWidth="1"/>
    <col min="5" max="5" width="16.75" customWidth="1"/>
    <col min="6" max="6" width="18.875" customWidth="1"/>
    <col min="9" max="9" width="13.75"/>
  </cols>
  <sheetData>
    <row r="1" spans="1:21" x14ac:dyDescent="0.15">
      <c r="A1" s="290" t="s">
        <v>70</v>
      </c>
      <c r="B1" s="290"/>
      <c r="C1" s="290" t="s">
        <v>71</v>
      </c>
      <c r="D1" s="290"/>
      <c r="E1" s="290"/>
      <c r="F1" s="290" t="s">
        <v>72</v>
      </c>
      <c r="G1" s="290"/>
      <c r="H1" s="290"/>
      <c r="I1" s="346" t="s">
        <v>73</v>
      </c>
      <c r="J1" s="349" t="s">
        <v>74</v>
      </c>
      <c r="K1" s="348"/>
      <c r="L1" s="349" t="s">
        <v>75</v>
      </c>
      <c r="M1" s="348"/>
      <c r="N1" s="350" t="s">
        <v>76</v>
      </c>
      <c r="O1" s="350"/>
      <c r="R1" s="348"/>
      <c r="S1" s="348"/>
      <c r="T1" s="348"/>
      <c r="U1" s="348"/>
    </row>
    <row r="2" spans="1:21" x14ac:dyDescent="0.15">
      <c r="A2" s="290"/>
      <c r="B2" s="290"/>
      <c r="C2" s="290"/>
      <c r="D2" s="290"/>
      <c r="E2" s="290"/>
      <c r="F2" s="290"/>
      <c r="G2" s="290"/>
      <c r="H2" s="290"/>
      <c r="I2" s="347"/>
      <c r="J2" s="348"/>
      <c r="K2" s="348"/>
      <c r="L2" s="348"/>
      <c r="M2" s="348"/>
      <c r="N2" s="350"/>
      <c r="O2" s="350"/>
      <c r="R2" s="348"/>
      <c r="S2" s="348"/>
      <c r="T2" s="348"/>
      <c r="U2" s="348"/>
    </row>
    <row r="3" spans="1:21" x14ac:dyDescent="0.15">
      <c r="A3" s="290"/>
      <c r="B3" s="290"/>
      <c r="C3" s="290"/>
      <c r="D3" s="290"/>
      <c r="E3" s="290"/>
      <c r="F3" s="290"/>
      <c r="G3" s="290"/>
      <c r="H3" s="290"/>
      <c r="I3" s="347"/>
      <c r="J3" s="348"/>
      <c r="K3" s="348"/>
      <c r="L3" s="348"/>
      <c r="M3" s="348"/>
      <c r="N3" s="350"/>
      <c r="O3" s="350"/>
      <c r="R3" s="348"/>
      <c r="S3" s="348"/>
      <c r="T3" s="348"/>
      <c r="U3" s="348"/>
    </row>
    <row r="4" spans="1:21" x14ac:dyDescent="0.15">
      <c r="A4" s="116" t="s">
        <v>77</v>
      </c>
      <c r="B4" s="116"/>
      <c r="C4" s="116">
        <f>-363.105</f>
        <v>-363.10500000000002</v>
      </c>
      <c r="D4" s="116"/>
      <c r="E4" s="116"/>
      <c r="F4" s="116">
        <f>-363.144</f>
        <v>-363.14400000000001</v>
      </c>
      <c r="G4" s="116"/>
      <c r="H4" s="116"/>
      <c r="I4" s="348">
        <f>C4*13.6056923</f>
        <v>-4940.2949025915004</v>
      </c>
      <c r="J4" s="348">
        <f>F4*13.6056923</f>
        <v>-4940.8255245911996</v>
      </c>
      <c r="K4" s="348"/>
      <c r="L4" s="348">
        <f>J4-I4</f>
        <v>-0.53062199969917856</v>
      </c>
      <c r="M4" s="348"/>
      <c r="N4" s="348"/>
      <c r="O4" s="348"/>
      <c r="R4" s="348"/>
      <c r="S4" s="348"/>
      <c r="T4" s="348"/>
      <c r="U4" s="1"/>
    </row>
    <row r="5" spans="1:21" x14ac:dyDescent="0.15">
      <c r="A5" s="116"/>
      <c r="B5" s="116"/>
      <c r="C5" s="116"/>
      <c r="D5" s="116"/>
      <c r="E5" s="116"/>
      <c r="F5" s="116"/>
      <c r="G5" s="116"/>
      <c r="H5" s="116"/>
      <c r="I5" s="348"/>
      <c r="J5" s="348"/>
      <c r="K5" s="348"/>
      <c r="L5" s="348"/>
      <c r="M5" s="348"/>
      <c r="N5" s="348"/>
      <c r="O5" s="348"/>
    </row>
    <row r="6" spans="1:21" x14ac:dyDescent="0.15">
      <c r="A6" s="116" t="s">
        <v>78</v>
      </c>
      <c r="B6" s="116"/>
      <c r="C6" s="116">
        <f>-264.832</f>
        <v>-264.83199999999999</v>
      </c>
      <c r="D6" s="116"/>
      <c r="E6" s="116"/>
      <c r="F6" s="116">
        <f>-264.825</f>
        <v>-264.82499999999999</v>
      </c>
      <c r="G6" s="116"/>
      <c r="H6" s="116"/>
      <c r="I6" s="348">
        <f>C6*13.6056923</f>
        <v>-3603.2227031936</v>
      </c>
      <c r="J6" s="348">
        <f>F6*13.6056923</f>
        <v>-3603.1274633474995</v>
      </c>
      <c r="K6" s="348"/>
      <c r="L6" s="348">
        <f>J6-I6</f>
        <v>9.5239846100412251E-2</v>
      </c>
      <c r="M6" s="348"/>
      <c r="N6" s="348"/>
      <c r="O6" s="348"/>
    </row>
    <row r="7" spans="1:21" x14ac:dyDescent="0.15">
      <c r="A7" s="116"/>
      <c r="B7" s="116"/>
      <c r="C7" s="116"/>
      <c r="D7" s="116"/>
      <c r="E7" s="116"/>
      <c r="F7" s="116"/>
      <c r="G7" s="116"/>
      <c r="H7" s="116"/>
      <c r="I7" s="348"/>
      <c r="J7" s="348"/>
      <c r="K7" s="348"/>
      <c r="L7" s="348"/>
      <c r="M7" s="348"/>
      <c r="N7" s="348"/>
      <c r="O7" s="348"/>
    </row>
    <row r="8" spans="1:21" x14ac:dyDescent="0.15">
      <c r="A8" s="116" t="s">
        <v>79</v>
      </c>
      <c r="B8" s="116"/>
      <c r="C8" s="116">
        <f>-98.266</f>
        <v>-98.266000000000005</v>
      </c>
      <c r="D8" s="116"/>
      <c r="E8" s="116"/>
      <c r="F8" s="116">
        <f>-98.315</f>
        <v>-98.314999999999998</v>
      </c>
      <c r="G8" s="116"/>
      <c r="H8" s="116"/>
      <c r="I8" s="348">
        <f>C8*13.6056923</f>
        <v>-1336.9769595518001</v>
      </c>
      <c r="J8" s="348">
        <f>F8*13.6056923</f>
        <v>-1337.6436384745</v>
      </c>
      <c r="K8" s="348"/>
      <c r="L8" s="348">
        <f>J8-I8</f>
        <v>-0.6666789226999299</v>
      </c>
      <c r="M8" s="348"/>
      <c r="N8" s="348"/>
      <c r="O8" s="348"/>
    </row>
    <row r="9" spans="1:21" x14ac:dyDescent="0.15">
      <c r="A9" s="116"/>
      <c r="B9" s="116"/>
      <c r="C9" s="116"/>
      <c r="D9" s="116"/>
      <c r="E9" s="116"/>
      <c r="F9" s="116"/>
      <c r="G9" s="116"/>
      <c r="H9" s="116"/>
      <c r="I9" s="348"/>
      <c r="J9" s="348"/>
      <c r="K9" s="348"/>
      <c r="L9" s="348"/>
      <c r="M9" s="348"/>
      <c r="N9" s="348"/>
      <c r="O9" s="348"/>
    </row>
    <row r="10" spans="1:21" x14ac:dyDescent="0.15">
      <c r="A10" s="116" t="s">
        <v>80</v>
      </c>
      <c r="B10" s="116"/>
      <c r="C10" s="116">
        <f>-146.851</f>
        <v>-146.851</v>
      </c>
      <c r="D10" s="116"/>
      <c r="E10" s="116"/>
      <c r="F10" s="116">
        <f>-146.89</f>
        <v>-146.88999999999999</v>
      </c>
      <c r="G10" s="116"/>
      <c r="H10" s="116"/>
      <c r="I10" s="348">
        <f>C10*13.6056923</f>
        <v>-1998.0095199472999</v>
      </c>
      <c r="J10" s="348">
        <f>F10*13.6056923</f>
        <v>-1998.5401419469997</v>
      </c>
      <c r="K10" s="348"/>
      <c r="L10" s="348">
        <f>J10-I10</f>
        <v>-0.53062199969986068</v>
      </c>
      <c r="M10" s="348"/>
      <c r="N10" s="348"/>
      <c r="O10" s="348"/>
    </row>
    <row r="11" spans="1:21" x14ac:dyDescent="0.15">
      <c r="A11" s="116"/>
      <c r="B11" s="116"/>
      <c r="C11" s="116"/>
      <c r="D11" s="116"/>
      <c r="E11" s="116"/>
      <c r="F11" s="116"/>
      <c r="G11" s="116"/>
      <c r="H11" s="116"/>
      <c r="I11" s="348"/>
      <c r="J11" s="348"/>
      <c r="K11" s="348"/>
      <c r="L11" s="348"/>
      <c r="M11" s="348"/>
      <c r="N11" s="348"/>
      <c r="O11" s="348"/>
    </row>
    <row r="12" spans="1:21" x14ac:dyDescent="0.15">
      <c r="A12" s="116" t="s">
        <v>81</v>
      </c>
      <c r="B12" s="116"/>
      <c r="C12" s="116">
        <f>-117.805</f>
        <v>-117.80500000000001</v>
      </c>
      <c r="D12" s="116"/>
      <c r="E12" s="116"/>
      <c r="F12" s="116">
        <f>-117.729</f>
        <v>-117.729</v>
      </c>
      <c r="G12" s="116"/>
      <c r="H12" s="116"/>
      <c r="I12" s="348">
        <f>C12*13.6056923</f>
        <v>-1602.8185814015001</v>
      </c>
      <c r="J12" s="348">
        <f>F12*13.6056923</f>
        <v>-1601.7845487866998</v>
      </c>
      <c r="K12" s="348"/>
      <c r="L12" s="348">
        <f>J12-I12</f>
        <v>1.0340326148002532</v>
      </c>
      <c r="M12" s="348"/>
      <c r="N12" s="348"/>
      <c r="O12" s="348"/>
    </row>
    <row r="13" spans="1:21" x14ac:dyDescent="0.15">
      <c r="A13" s="116"/>
      <c r="B13" s="116"/>
      <c r="C13" s="116"/>
      <c r="D13" s="116"/>
      <c r="E13" s="116"/>
      <c r="F13" s="116"/>
      <c r="G13" s="116"/>
      <c r="H13" s="116"/>
      <c r="I13" s="348"/>
      <c r="J13" s="348"/>
      <c r="K13" s="348"/>
      <c r="L13" s="348"/>
      <c r="M13" s="348"/>
      <c r="N13" s="348"/>
      <c r="O13" s="348"/>
    </row>
    <row r="14" spans="1:21" x14ac:dyDescent="0.15">
      <c r="A14" s="116" t="s">
        <v>82</v>
      </c>
      <c r="B14" s="116"/>
      <c r="C14" s="116">
        <f>-11.954</f>
        <v>-11.954000000000001</v>
      </c>
      <c r="D14" s="116"/>
      <c r="E14" s="116"/>
      <c r="F14" s="116">
        <f>-11.974</f>
        <v>-11.974</v>
      </c>
      <c r="G14" s="116"/>
      <c r="H14" s="116"/>
      <c r="I14" s="348">
        <f>C14*13.6056923</f>
        <v>-162.6424457542</v>
      </c>
      <c r="J14" s="348">
        <f>F14*13.6056923</f>
        <v>-162.91455960019999</v>
      </c>
      <c r="K14" s="348"/>
      <c r="L14" s="353">
        <f>J14-I14</f>
        <v>-0.27211384599999633</v>
      </c>
      <c r="M14" s="353"/>
      <c r="N14" s="348"/>
      <c r="O14" s="348"/>
    </row>
    <row r="15" spans="1:21" x14ac:dyDescent="0.15">
      <c r="A15" s="116"/>
      <c r="B15" s="116"/>
      <c r="C15" s="116"/>
      <c r="D15" s="116"/>
      <c r="E15" s="116"/>
      <c r="F15" s="116"/>
      <c r="G15" s="116"/>
      <c r="H15" s="116"/>
      <c r="I15" s="348"/>
      <c r="J15" s="348"/>
      <c r="K15" s="348"/>
      <c r="L15" s="353"/>
      <c r="M15" s="353"/>
      <c r="N15" s="348"/>
      <c r="O15" s="348"/>
    </row>
    <row r="16" spans="1:21" x14ac:dyDescent="0.15">
      <c r="A16" s="116" t="s">
        <v>83</v>
      </c>
      <c r="B16" s="116"/>
      <c r="C16" s="116">
        <f>-40.382</f>
        <v>-40.381999999999998</v>
      </c>
      <c r="D16" s="116"/>
      <c r="E16" s="116"/>
      <c r="F16" s="116">
        <f>-40.404</f>
        <v>-40.404000000000003</v>
      </c>
      <c r="G16" s="116"/>
      <c r="H16" s="116"/>
      <c r="I16" s="348">
        <f>C16*13.6056923</f>
        <v>-549.42506645859999</v>
      </c>
      <c r="J16" s="348">
        <f>F16*13.6056923</f>
        <v>-549.72439168920005</v>
      </c>
      <c r="K16" s="348"/>
      <c r="L16" s="353">
        <f>J16-I16</f>
        <v>-0.29932523060006133</v>
      </c>
      <c r="M16" s="353"/>
      <c r="N16" s="348"/>
      <c r="O16" s="348"/>
    </row>
    <row r="17" spans="1:15" x14ac:dyDescent="0.15">
      <c r="A17" s="116"/>
      <c r="B17" s="116"/>
      <c r="C17" s="116"/>
      <c r="D17" s="116"/>
      <c r="E17" s="116"/>
      <c r="F17" s="116"/>
      <c r="G17" s="116"/>
      <c r="H17" s="116"/>
      <c r="I17" s="348"/>
      <c r="J17" s="348"/>
      <c r="K17" s="348"/>
      <c r="L17" s="353"/>
      <c r="M17" s="353"/>
      <c r="N17" s="348"/>
      <c r="O17" s="348"/>
    </row>
    <row r="18" spans="1:15" x14ac:dyDescent="0.15">
      <c r="A18" s="116" t="s">
        <v>84</v>
      </c>
      <c r="B18" s="116"/>
      <c r="C18" s="116">
        <f>-2.332</f>
        <v>-2.3319999999999999</v>
      </c>
      <c r="D18" s="116"/>
      <c r="E18" s="116"/>
      <c r="F18" s="116">
        <f>-2.351</f>
        <v>-2.351</v>
      </c>
      <c r="G18" s="116"/>
      <c r="H18" s="116"/>
      <c r="I18" s="348">
        <f>C18*13.6056923</f>
        <v>-31.728474443599996</v>
      </c>
      <c r="J18" s="348">
        <f>F18*13.6056923</f>
        <v>-31.986982597299999</v>
      </c>
      <c r="K18" s="348"/>
      <c r="L18" s="348">
        <f>J18-I18</f>
        <v>-0.25850815370000291</v>
      </c>
      <c r="M18" s="348"/>
      <c r="N18" s="348"/>
      <c r="O18" s="348"/>
    </row>
    <row r="19" spans="1:15" x14ac:dyDescent="0.15">
      <c r="A19" s="116"/>
      <c r="B19" s="116"/>
      <c r="C19" s="116"/>
      <c r="D19" s="116"/>
      <c r="E19" s="116"/>
      <c r="F19" s="116"/>
      <c r="G19" s="116"/>
      <c r="H19" s="116"/>
      <c r="I19" s="348"/>
      <c r="J19" s="348"/>
      <c r="K19" s="348"/>
      <c r="L19" s="348"/>
      <c r="M19" s="348"/>
      <c r="N19" s="348"/>
      <c r="O19" s="348"/>
    </row>
    <row r="20" spans="1:15" x14ac:dyDescent="0.15">
      <c r="A20" s="116" t="s">
        <v>70</v>
      </c>
      <c r="B20" s="116"/>
      <c r="C20" s="351" t="s">
        <v>85</v>
      </c>
      <c r="D20" s="290"/>
      <c r="E20" s="290"/>
      <c r="F20" s="351" t="s">
        <v>86</v>
      </c>
      <c r="G20" s="290"/>
      <c r="H20" s="290"/>
      <c r="I20" s="345"/>
      <c r="J20" s="345"/>
      <c r="K20" s="345"/>
      <c r="L20" s="348"/>
      <c r="M20" s="348"/>
    </row>
    <row r="21" spans="1:15" x14ac:dyDescent="0.15">
      <c r="A21" s="116"/>
      <c r="B21" s="116"/>
      <c r="C21" s="290"/>
      <c r="D21" s="290"/>
      <c r="E21" s="290"/>
      <c r="F21" s="290"/>
      <c r="G21" s="290"/>
      <c r="H21" s="290"/>
      <c r="I21" s="345"/>
      <c r="J21" s="345"/>
      <c r="K21" s="345"/>
      <c r="L21" s="348"/>
      <c r="M21" s="348"/>
    </row>
    <row r="22" spans="1:15" x14ac:dyDescent="0.15">
      <c r="A22" s="116" t="s">
        <v>37</v>
      </c>
      <c r="B22" s="116"/>
      <c r="C22" s="116">
        <f>-5.49</f>
        <v>-5.49</v>
      </c>
      <c r="D22" s="116"/>
      <c r="E22" s="116"/>
      <c r="F22" s="116">
        <f>-5.86</f>
        <v>-5.86</v>
      </c>
      <c r="G22" s="116"/>
      <c r="H22" s="116"/>
      <c r="I22" s="345">
        <f>I4-I14-3*I18-0.5*I16-I10-1.5*I12</f>
        <v>-5.5171082276501693</v>
      </c>
      <c r="J22" s="345">
        <f>J4-J14-3*J18-0.5*J16-J10-1.5*J12</f>
        <v>-5.8708562274496217</v>
      </c>
      <c r="K22" s="345"/>
      <c r="L22" s="348">
        <f>J22-I22</f>
        <v>-0.35374799979945237</v>
      </c>
      <c r="M22" s="348"/>
    </row>
    <row r="23" spans="1:15" x14ac:dyDescent="0.15">
      <c r="A23" s="116"/>
      <c r="B23" s="116"/>
      <c r="C23" s="116"/>
      <c r="D23" s="116"/>
      <c r="E23" s="116"/>
      <c r="F23" s="116"/>
      <c r="G23" s="116"/>
      <c r="H23" s="116"/>
      <c r="I23" s="345"/>
      <c r="J23" s="345"/>
      <c r="K23" s="345"/>
      <c r="L23" s="348"/>
      <c r="M23" s="348"/>
    </row>
    <row r="24" spans="1:15" x14ac:dyDescent="0.15">
      <c r="A24" s="116" t="s">
        <v>38</v>
      </c>
      <c r="B24" s="116"/>
      <c r="C24" s="116">
        <f>-2.39</f>
        <v>-2.39</v>
      </c>
      <c r="D24" s="116"/>
      <c r="E24" s="116"/>
      <c r="F24" s="116">
        <f>-2.8</f>
        <v>-2.8</v>
      </c>
      <c r="G24" s="116"/>
      <c r="H24" s="116"/>
      <c r="I24" s="345">
        <f>(C6-C10-C12)*13.6056923</f>
        <v>-2.394601844799833</v>
      </c>
      <c r="J24" s="345">
        <f>(F6-F10-F12)*13.6056923</f>
        <v>-2.8027726138000415</v>
      </c>
      <c r="K24" s="345"/>
      <c r="L24" s="348">
        <f>J24-I24</f>
        <v>-0.40817076900020854</v>
      </c>
      <c r="M24" s="348"/>
    </row>
    <row r="25" spans="1:15" x14ac:dyDescent="0.15">
      <c r="A25" s="116"/>
      <c r="B25" s="116"/>
      <c r="C25" s="116"/>
      <c r="D25" s="116"/>
      <c r="E25" s="116"/>
      <c r="F25" s="116"/>
      <c r="G25" s="116"/>
      <c r="H25" s="116"/>
      <c r="I25" s="345"/>
      <c r="J25" s="345"/>
      <c r="K25" s="345"/>
      <c r="L25" s="348"/>
      <c r="M25" s="348"/>
    </row>
    <row r="26" spans="1:15" x14ac:dyDescent="0.15">
      <c r="A26" s="116" t="s">
        <v>11</v>
      </c>
      <c r="B26" s="116"/>
      <c r="C26" s="352">
        <f>-2.33</f>
        <v>-2.33</v>
      </c>
      <c r="D26" s="352"/>
      <c r="E26" s="352"/>
      <c r="F26" s="116">
        <f>-3.02</f>
        <v>-3.02</v>
      </c>
      <c r="G26" s="116"/>
      <c r="H26" s="116"/>
      <c r="I26" s="345">
        <f>I8-I14-3*I18-0.5*I16-0.5*I12</f>
        <v>-3.0272665367500622</v>
      </c>
      <c r="J26" s="345">
        <f>(F8-F14-0.5*F16-3*F18-0.5*F12)*13.6056923</f>
        <v>-3.0136608444499853</v>
      </c>
      <c r="K26" s="345"/>
      <c r="L26" s="348">
        <f>J26-I26</f>
        <v>1.360569230007691E-2</v>
      </c>
      <c r="M26" s="348"/>
    </row>
    <row r="27" spans="1:15" x14ac:dyDescent="0.15">
      <c r="A27" s="116"/>
      <c r="B27" s="116"/>
      <c r="C27" s="352"/>
      <c r="D27" s="352"/>
      <c r="E27" s="352"/>
      <c r="F27" s="116"/>
      <c r="G27" s="116"/>
      <c r="H27" s="116"/>
      <c r="I27" s="345"/>
      <c r="J27" s="345"/>
      <c r="K27" s="345"/>
      <c r="L27" s="348"/>
      <c r="M27" s="348"/>
    </row>
    <row r="28" spans="1:15" x14ac:dyDescent="0.15">
      <c r="A28" s="345"/>
      <c r="B28" s="345"/>
      <c r="C28" s="345"/>
      <c r="D28" s="345"/>
      <c r="E28" s="345"/>
      <c r="F28" s="345"/>
      <c r="G28" s="345"/>
      <c r="H28" s="345"/>
    </row>
    <row r="29" spans="1:15" x14ac:dyDescent="0.15">
      <c r="A29" s="345"/>
      <c r="B29" s="345"/>
      <c r="C29" s="345"/>
      <c r="D29" s="345"/>
      <c r="E29" s="345"/>
      <c r="F29" s="345"/>
      <c r="G29" s="345"/>
      <c r="H29" s="345"/>
    </row>
    <row r="30" spans="1:15" x14ac:dyDescent="0.15">
      <c r="A30" s="345"/>
      <c r="B30" s="345"/>
      <c r="C30" s="345"/>
      <c r="D30" s="345"/>
      <c r="E30" s="345"/>
      <c r="F30" s="345"/>
      <c r="G30" s="345"/>
      <c r="H30" s="345"/>
    </row>
    <row r="31" spans="1:15" x14ac:dyDescent="0.15">
      <c r="A31" s="345"/>
      <c r="B31" s="345"/>
      <c r="C31" s="345"/>
      <c r="D31" s="345"/>
      <c r="E31" s="345"/>
      <c r="F31" s="345"/>
      <c r="G31" s="345"/>
      <c r="H31" s="345"/>
    </row>
    <row r="32" spans="1:15" x14ac:dyDescent="0.15">
      <c r="A32" s="345"/>
      <c r="B32" s="345"/>
      <c r="C32" s="345"/>
      <c r="D32" s="345"/>
      <c r="E32" s="345"/>
      <c r="F32" s="345"/>
      <c r="G32" s="345"/>
      <c r="H32" s="345"/>
    </row>
    <row r="33" spans="1:8" x14ac:dyDescent="0.15">
      <c r="A33" s="345"/>
      <c r="B33" s="345"/>
      <c r="C33" s="345"/>
      <c r="D33" s="345"/>
      <c r="E33" s="345"/>
      <c r="F33" s="345"/>
      <c r="G33" s="345"/>
      <c r="H33" s="345"/>
    </row>
    <row r="34" spans="1:8" x14ac:dyDescent="0.15">
      <c r="A34" s="345"/>
      <c r="B34" s="345"/>
    </row>
    <row r="35" spans="1:8" x14ac:dyDescent="0.15">
      <c r="A35" s="345"/>
      <c r="B35" s="345"/>
    </row>
    <row r="36" spans="1:8" x14ac:dyDescent="0.15">
      <c r="A36" s="345"/>
      <c r="B36" s="345"/>
    </row>
  </sheetData>
  <mergeCells count="101">
    <mergeCell ref="L12:M13"/>
    <mergeCell ref="N12:O13"/>
    <mergeCell ref="J14:K15"/>
    <mergeCell ref="L14:M15"/>
    <mergeCell ref="N14:O15"/>
    <mergeCell ref="J16:K17"/>
    <mergeCell ref="L16:M17"/>
    <mergeCell ref="N16:O17"/>
    <mergeCell ref="L26:M27"/>
    <mergeCell ref="J22:K23"/>
    <mergeCell ref="L22:M23"/>
    <mergeCell ref="J18:K19"/>
    <mergeCell ref="L18:M19"/>
    <mergeCell ref="N18:O19"/>
    <mergeCell ref="J20:K21"/>
    <mergeCell ref="L20:M21"/>
    <mergeCell ref="L24:M25"/>
    <mergeCell ref="C26:E27"/>
    <mergeCell ref="F26:H27"/>
    <mergeCell ref="C28:E29"/>
    <mergeCell ref="F28:H29"/>
    <mergeCell ref="C30:E31"/>
    <mergeCell ref="F30:H31"/>
    <mergeCell ref="C32:E33"/>
    <mergeCell ref="F32:H33"/>
    <mergeCell ref="J1:K3"/>
    <mergeCell ref="J24:K25"/>
    <mergeCell ref="J26:K27"/>
    <mergeCell ref="J12:K13"/>
    <mergeCell ref="A32:B33"/>
    <mergeCell ref="A34:B35"/>
    <mergeCell ref="C4:E5"/>
    <mergeCell ref="F4:H5"/>
    <mergeCell ref="C6:E7"/>
    <mergeCell ref="F6:H7"/>
    <mergeCell ref="C8:E9"/>
    <mergeCell ref="F8:H9"/>
    <mergeCell ref="C10:E11"/>
    <mergeCell ref="F10:H11"/>
    <mergeCell ref="C12:E13"/>
    <mergeCell ref="F12:H13"/>
    <mergeCell ref="C14:E15"/>
    <mergeCell ref="F14:H15"/>
    <mergeCell ref="C16:E17"/>
    <mergeCell ref="F16:H17"/>
    <mergeCell ref="C18:E19"/>
    <mergeCell ref="F18:H19"/>
    <mergeCell ref="C20:E21"/>
    <mergeCell ref="F20:H21"/>
    <mergeCell ref="C22:E23"/>
    <mergeCell ref="F22:H23"/>
    <mergeCell ref="C24:E25"/>
    <mergeCell ref="F24:H25"/>
    <mergeCell ref="U1:U3"/>
    <mergeCell ref="A1:B3"/>
    <mergeCell ref="C1:E3"/>
    <mergeCell ref="F1:H3"/>
    <mergeCell ref="R1:T3"/>
    <mergeCell ref="A4:B5"/>
    <mergeCell ref="A6:B7"/>
    <mergeCell ref="A8:B9"/>
    <mergeCell ref="A10:B11"/>
    <mergeCell ref="J4:K5"/>
    <mergeCell ref="L4:M5"/>
    <mergeCell ref="N4:O5"/>
    <mergeCell ref="J6:K7"/>
    <mergeCell ref="L6:M7"/>
    <mergeCell ref="N6:O7"/>
    <mergeCell ref="J8:K9"/>
    <mergeCell ref="L8:M9"/>
    <mergeCell ref="N8:O9"/>
    <mergeCell ref="J10:K11"/>
    <mergeCell ref="L10:M11"/>
    <mergeCell ref="N10:O11"/>
    <mergeCell ref="R4:T4"/>
    <mergeCell ref="L1:M3"/>
    <mergeCell ref="N1:O3"/>
    <mergeCell ref="A36:B36"/>
    <mergeCell ref="I1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A12:B13"/>
    <mergeCell ref="A14:B15"/>
    <mergeCell ref="A16:B17"/>
    <mergeCell ref="A18:B19"/>
    <mergeCell ref="A20:B21"/>
    <mergeCell ref="A22:B23"/>
    <mergeCell ref="A24:B25"/>
    <mergeCell ref="A26:B27"/>
    <mergeCell ref="A28:B29"/>
    <mergeCell ref="A30:B31"/>
  </mergeCells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Cafferry</cp:lastModifiedBy>
  <dcterms:created xsi:type="dcterms:W3CDTF">2013-04-09T09:35:00Z</dcterms:created>
  <dcterms:modified xsi:type="dcterms:W3CDTF">2017-07-06T06:56:52Z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