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FEF7B0E3-593D-473F-94C3-D88DBEA6C0D8}" xr6:coauthVersionLast="47" xr6:coauthVersionMax="47" xr10:uidLastSave="{00000000-0000-0000-0000-000000000000}"/>
  <bookViews>
    <workbookView xWindow="3105" yWindow="2280" windowWidth="28800" windowHeight="15435" xr2:uid="{00000000-000D-0000-FFFF-FFFF00000000}"/>
  </bookViews>
  <sheets>
    <sheet name="Тех. карта" sheetId="1" r:id="rId1"/>
    <sheet name="Тарифная ставка по разряду" sheetId="2" r:id="rId2"/>
    <sheet name="Проектная тех." sheetId="4" r:id="rId3"/>
    <sheet name="Тарифная ставка по разряду Про." sheetId="5" r:id="rId4"/>
  </sheets>
  <calcPr calcId="181029"/>
</workbook>
</file>

<file path=xl/calcChain.xml><?xml version="1.0" encoding="utf-8"?>
<calcChain xmlns="http://schemas.openxmlformats.org/spreadsheetml/2006/main">
  <c r="D31" i="1" l="1"/>
  <c r="D30" i="1"/>
  <c r="D29" i="1"/>
  <c r="D25" i="1"/>
  <c r="D24" i="1"/>
  <c r="D20" i="1"/>
  <c r="D19" i="1"/>
  <c r="Y19" i="1" s="1"/>
  <c r="D16" i="1"/>
  <c r="Y16" i="1" s="1"/>
  <c r="D15" i="1"/>
  <c r="Y15" i="1" s="1"/>
  <c r="D14" i="1"/>
  <c r="Y14" i="1" s="1"/>
  <c r="D11" i="1"/>
  <c r="Y11" i="1" s="1"/>
  <c r="D11" i="4"/>
  <c r="D31" i="4"/>
  <c r="D30" i="4"/>
  <c r="D29" i="4"/>
  <c r="D25" i="4"/>
  <c r="D24" i="4"/>
  <c r="D20" i="4"/>
  <c r="D19" i="4"/>
  <c r="D16" i="4"/>
  <c r="M16" i="4" s="1"/>
  <c r="D15" i="4"/>
  <c r="D14" i="4"/>
  <c r="M14" i="4" s="1"/>
  <c r="Y11" i="4"/>
  <c r="J43" i="1"/>
  <c r="L43" i="1"/>
  <c r="N67" i="1"/>
  <c r="S68" i="4"/>
  <c r="J43" i="4"/>
  <c r="L43" i="4"/>
  <c r="N67" i="4"/>
  <c r="T68" i="4"/>
  <c r="U68" i="4"/>
  <c r="L48" i="1"/>
  <c r="J45" i="1"/>
  <c r="L45" i="1"/>
  <c r="J46" i="1"/>
  <c r="L46" i="1"/>
  <c r="J47" i="1"/>
  <c r="L47" i="1"/>
  <c r="L44" i="1"/>
  <c r="N68" i="1"/>
  <c r="S69" i="4"/>
  <c r="L48" i="4"/>
  <c r="J45" i="4"/>
  <c r="L45" i="4"/>
  <c r="J46" i="4"/>
  <c r="L46" i="4"/>
  <c r="J47" i="4"/>
  <c r="L47" i="4"/>
  <c r="L44" i="4"/>
  <c r="N68" i="4"/>
  <c r="T69" i="4"/>
  <c r="U69" i="4"/>
  <c r="J51" i="1"/>
  <c r="L51" i="1"/>
  <c r="L50" i="1"/>
  <c r="N69" i="1"/>
  <c r="S70" i="4"/>
  <c r="J51" i="4"/>
  <c r="L51" i="4"/>
  <c r="L50" i="4"/>
  <c r="N69" i="4"/>
  <c r="T70" i="4"/>
  <c r="U70" i="4"/>
  <c r="Y12" i="1"/>
  <c r="Y13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J41" i="1"/>
  <c r="L41" i="1"/>
  <c r="Y12" i="4"/>
  <c r="Y13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J41" i="4"/>
  <c r="L41" i="4"/>
  <c r="G67" i="1"/>
  <c r="M26" i="1"/>
  <c r="F67" i="1"/>
  <c r="H67" i="1"/>
  <c r="G68" i="1"/>
  <c r="M28" i="1"/>
  <c r="F68" i="1"/>
  <c r="H68" i="1"/>
  <c r="C69" i="1"/>
  <c r="G69" i="1"/>
  <c r="M16" i="1"/>
  <c r="F71" i="1" s="1"/>
  <c r="J71" i="1" s="1"/>
  <c r="M20" i="1"/>
  <c r="F89" i="1" s="1"/>
  <c r="M25" i="1"/>
  <c r="F75" i="1" s="1"/>
  <c r="G70" i="1"/>
  <c r="M27" i="1"/>
  <c r="F70" i="1"/>
  <c r="H70" i="1"/>
  <c r="G71" i="1"/>
  <c r="M12" i="1"/>
  <c r="G72" i="1"/>
  <c r="M31" i="1"/>
  <c r="F72" i="1" s="1"/>
  <c r="C73" i="1"/>
  <c r="G73" i="1"/>
  <c r="M13" i="1"/>
  <c r="M18" i="1"/>
  <c r="M22" i="1"/>
  <c r="M32" i="1"/>
  <c r="F73" i="1"/>
  <c r="H73" i="1"/>
  <c r="G74" i="1"/>
  <c r="M30" i="1"/>
  <c r="N30" i="1" s="1"/>
  <c r="G75" i="1"/>
  <c r="G76" i="1"/>
  <c r="M24" i="1"/>
  <c r="F76" i="1" s="1"/>
  <c r="G77" i="1"/>
  <c r="M33" i="1"/>
  <c r="F77" i="1"/>
  <c r="H77" i="1"/>
  <c r="G78" i="1"/>
  <c r="C79" i="1"/>
  <c r="G79" i="1"/>
  <c r="M11" i="1"/>
  <c r="F79" i="1" s="1"/>
  <c r="G80" i="1"/>
  <c r="M19" i="1"/>
  <c r="F80" i="1" s="1"/>
  <c r="C81" i="1"/>
  <c r="G81" i="1"/>
  <c r="M17" i="1"/>
  <c r="G82" i="1"/>
  <c r="M14" i="1"/>
  <c r="F87" i="1" s="1"/>
  <c r="J87" i="1" s="1"/>
  <c r="M29" i="1"/>
  <c r="F83" i="1" s="1"/>
  <c r="C83" i="1"/>
  <c r="G83" i="1"/>
  <c r="G84" i="1"/>
  <c r="F84" i="1"/>
  <c r="H84" i="1"/>
  <c r="G85" i="1"/>
  <c r="M15" i="1"/>
  <c r="F85" i="1" s="1"/>
  <c r="G86" i="1"/>
  <c r="F86" i="1"/>
  <c r="H86" i="1"/>
  <c r="G87" i="1"/>
  <c r="C88" i="1"/>
  <c r="G88" i="1"/>
  <c r="G89" i="1"/>
  <c r="G90" i="1"/>
  <c r="M21" i="1"/>
  <c r="F90" i="1"/>
  <c r="H90" i="1"/>
  <c r="G67" i="4"/>
  <c r="M26" i="4"/>
  <c r="F67" i="4"/>
  <c r="H67" i="4"/>
  <c r="G68" i="4"/>
  <c r="M28" i="4"/>
  <c r="F68" i="4"/>
  <c r="H68" i="4"/>
  <c r="C69" i="4"/>
  <c r="G69" i="4"/>
  <c r="M20" i="4"/>
  <c r="F20" i="4" s="1"/>
  <c r="M25" i="4"/>
  <c r="N25" i="4" s="1"/>
  <c r="G70" i="4"/>
  <c r="M27" i="4"/>
  <c r="F70" i="4"/>
  <c r="H70" i="4"/>
  <c r="G71" i="4"/>
  <c r="M12" i="4"/>
  <c r="G72" i="4"/>
  <c r="M31" i="4"/>
  <c r="F72" i="4" s="1"/>
  <c r="C73" i="4"/>
  <c r="G73" i="4"/>
  <c r="M13" i="4"/>
  <c r="M18" i="4"/>
  <c r="M22" i="4"/>
  <c r="M32" i="4"/>
  <c r="F73" i="4"/>
  <c r="H73" i="4"/>
  <c r="G74" i="4"/>
  <c r="M30" i="4"/>
  <c r="F74" i="4" s="1"/>
  <c r="G75" i="4"/>
  <c r="G76" i="4"/>
  <c r="M24" i="4"/>
  <c r="F76" i="4" s="1"/>
  <c r="G77" i="4"/>
  <c r="M33" i="4"/>
  <c r="F77" i="4"/>
  <c r="H77" i="4"/>
  <c r="G78" i="4"/>
  <c r="C79" i="4"/>
  <c r="G79" i="4"/>
  <c r="M11" i="4"/>
  <c r="F11" i="4" s="1"/>
  <c r="G80" i="4"/>
  <c r="M19" i="4"/>
  <c r="F80" i="4" s="1"/>
  <c r="C81" i="4"/>
  <c r="G81" i="4"/>
  <c r="M17" i="4"/>
  <c r="G82" i="4"/>
  <c r="M29" i="4"/>
  <c r="F83" i="4" s="1"/>
  <c r="J83" i="4" s="1"/>
  <c r="C83" i="4"/>
  <c r="G83" i="4"/>
  <c r="G84" i="4"/>
  <c r="F84" i="4"/>
  <c r="H84" i="4"/>
  <c r="G85" i="4"/>
  <c r="M15" i="4"/>
  <c r="F85" i="4" s="1"/>
  <c r="G86" i="4"/>
  <c r="F86" i="4"/>
  <c r="H86" i="4"/>
  <c r="G87" i="4"/>
  <c r="C88" i="4"/>
  <c r="G88" i="4"/>
  <c r="G89" i="4"/>
  <c r="G90" i="4"/>
  <c r="M21" i="4"/>
  <c r="F90" i="4"/>
  <c r="H90" i="4"/>
  <c r="I67" i="1"/>
  <c r="J67" i="1"/>
  <c r="I68" i="1"/>
  <c r="J68" i="1"/>
  <c r="I69" i="1"/>
  <c r="I70" i="1"/>
  <c r="J70" i="1"/>
  <c r="I71" i="1"/>
  <c r="I72" i="1"/>
  <c r="I73" i="1"/>
  <c r="J73" i="1"/>
  <c r="I74" i="1"/>
  <c r="I75" i="1"/>
  <c r="I76" i="1"/>
  <c r="I77" i="1"/>
  <c r="J77" i="1"/>
  <c r="I78" i="1"/>
  <c r="I79" i="1"/>
  <c r="I80" i="1"/>
  <c r="I81" i="1"/>
  <c r="I82" i="1"/>
  <c r="I83" i="1"/>
  <c r="I84" i="1"/>
  <c r="J84" i="1"/>
  <c r="I85" i="1"/>
  <c r="I86" i="1"/>
  <c r="J86" i="1"/>
  <c r="I87" i="1"/>
  <c r="I88" i="1"/>
  <c r="I89" i="1"/>
  <c r="I90" i="1"/>
  <c r="J90" i="1"/>
  <c r="I67" i="4"/>
  <c r="J67" i="4"/>
  <c r="I68" i="4"/>
  <c r="J68" i="4"/>
  <c r="I69" i="4"/>
  <c r="I70" i="4"/>
  <c r="J70" i="4"/>
  <c r="I71" i="4"/>
  <c r="I72" i="4"/>
  <c r="I73" i="4"/>
  <c r="J73" i="4"/>
  <c r="I74" i="4"/>
  <c r="I75" i="4"/>
  <c r="I76" i="4"/>
  <c r="I77" i="4"/>
  <c r="J77" i="4"/>
  <c r="I78" i="4"/>
  <c r="I79" i="4"/>
  <c r="I80" i="4"/>
  <c r="I81" i="4"/>
  <c r="I82" i="4"/>
  <c r="I83" i="4"/>
  <c r="I84" i="4"/>
  <c r="J84" i="4"/>
  <c r="I85" i="4"/>
  <c r="I86" i="4"/>
  <c r="J86" i="4"/>
  <c r="I87" i="4"/>
  <c r="I88" i="4"/>
  <c r="I89" i="4"/>
  <c r="I90" i="4"/>
  <c r="J90" i="4"/>
  <c r="M34" i="1"/>
  <c r="AA34" i="1"/>
  <c r="AA35" i="1"/>
  <c r="J49" i="1"/>
  <c r="L49" i="1"/>
  <c r="N74" i="1"/>
  <c r="S75" i="4"/>
  <c r="M34" i="4"/>
  <c r="AA34" i="4"/>
  <c r="AA35" i="4"/>
  <c r="J49" i="4"/>
  <c r="L49" i="4"/>
  <c r="N74" i="4"/>
  <c r="T75" i="4"/>
  <c r="U75" i="4"/>
  <c r="N11" i="1"/>
  <c r="AC11" i="1" s="1"/>
  <c r="N12" i="1"/>
  <c r="T12" i="1"/>
  <c r="N13" i="1"/>
  <c r="T13" i="1"/>
  <c r="B2" i="2"/>
  <c r="B3" i="2"/>
  <c r="B4" i="2"/>
  <c r="B5" i="2"/>
  <c r="R14" i="1"/>
  <c r="N14" i="1"/>
  <c r="T14" i="1" s="1"/>
  <c r="V14" i="1" s="1"/>
  <c r="B6" i="2"/>
  <c r="B7" i="2"/>
  <c r="R15" i="1"/>
  <c r="N15" i="1"/>
  <c r="T15" i="1" s="1"/>
  <c r="N16" i="1"/>
  <c r="T16" i="1" s="1"/>
  <c r="V16" i="1" s="1"/>
  <c r="N17" i="1"/>
  <c r="T17" i="1"/>
  <c r="N18" i="1"/>
  <c r="T18" i="1"/>
  <c r="N20" i="1"/>
  <c r="T20" i="1"/>
  <c r="V20" i="1" s="1"/>
  <c r="N21" i="1"/>
  <c r="T21" i="1"/>
  <c r="N22" i="1"/>
  <c r="T22" i="1"/>
  <c r="R23" i="1"/>
  <c r="M23" i="1"/>
  <c r="N23" i="1"/>
  <c r="T23" i="1"/>
  <c r="N25" i="1"/>
  <c r="AC25" i="1" s="1"/>
  <c r="N26" i="1"/>
  <c r="T26" i="1"/>
  <c r="N28" i="1"/>
  <c r="T28" i="1"/>
  <c r="R30" i="1"/>
  <c r="N32" i="1"/>
  <c r="T32" i="1"/>
  <c r="N33" i="1"/>
  <c r="T33" i="1"/>
  <c r="N34" i="1"/>
  <c r="T34" i="1"/>
  <c r="V12" i="1"/>
  <c r="V13" i="1"/>
  <c r="V17" i="1"/>
  <c r="V18" i="1"/>
  <c r="V21" i="1"/>
  <c r="V22" i="1"/>
  <c r="V23" i="1"/>
  <c r="V26" i="1"/>
  <c r="V28" i="1"/>
  <c r="V32" i="1"/>
  <c r="V33" i="1"/>
  <c r="V34" i="1"/>
  <c r="S19" i="1"/>
  <c r="S22" i="1"/>
  <c r="O22" i="1"/>
  <c r="U22" i="1"/>
  <c r="S23" i="1"/>
  <c r="O23" i="1"/>
  <c r="U23" i="1"/>
  <c r="S24" i="1"/>
  <c r="O28" i="1"/>
  <c r="U28" i="1"/>
  <c r="S31" i="1"/>
  <c r="S33" i="1"/>
  <c r="O33" i="1"/>
  <c r="U33" i="1"/>
  <c r="S34" i="1"/>
  <c r="O34" i="1"/>
  <c r="U34" i="1"/>
  <c r="W22" i="1"/>
  <c r="W23" i="1"/>
  <c r="W28" i="1"/>
  <c r="W33" i="1"/>
  <c r="W34" i="1"/>
  <c r="B2" i="5"/>
  <c r="B3" i="5"/>
  <c r="B4" i="5"/>
  <c r="B5" i="5"/>
  <c r="B6" i="5"/>
  <c r="R11" i="4"/>
  <c r="R12" i="4"/>
  <c r="N12" i="4"/>
  <c r="T12" i="4"/>
  <c r="N13" i="4"/>
  <c r="T13" i="4"/>
  <c r="R14" i="4"/>
  <c r="N15" i="4"/>
  <c r="AC15" i="4" s="1"/>
  <c r="N17" i="4"/>
  <c r="T17" i="4"/>
  <c r="N18" i="4"/>
  <c r="T18" i="4"/>
  <c r="R19" i="4"/>
  <c r="N21" i="4"/>
  <c r="T21" i="4"/>
  <c r="N22" i="4"/>
  <c r="T22" i="4"/>
  <c r="M23" i="4"/>
  <c r="N23" i="4"/>
  <c r="T23" i="4"/>
  <c r="N24" i="4"/>
  <c r="T24" i="4" s="1"/>
  <c r="V24" i="4" s="1"/>
  <c r="N26" i="4"/>
  <c r="T26" i="4"/>
  <c r="N28" i="4"/>
  <c r="T28" i="4"/>
  <c r="N29" i="4"/>
  <c r="AC29" i="4" s="1"/>
  <c r="N31" i="4"/>
  <c r="AC31" i="4" s="1"/>
  <c r="N32" i="4"/>
  <c r="T32" i="4"/>
  <c r="N33" i="4"/>
  <c r="T33" i="4"/>
  <c r="N34" i="4"/>
  <c r="T34" i="4"/>
  <c r="V12" i="4"/>
  <c r="V13" i="4"/>
  <c r="V17" i="4"/>
  <c r="V18" i="4"/>
  <c r="V21" i="4"/>
  <c r="V22" i="4"/>
  <c r="V23" i="4"/>
  <c r="V26" i="4"/>
  <c r="V28" i="4"/>
  <c r="V32" i="4"/>
  <c r="V33" i="4"/>
  <c r="V34" i="4"/>
  <c r="S19" i="4"/>
  <c r="O22" i="4"/>
  <c r="U22" i="4"/>
  <c r="O23" i="4"/>
  <c r="U23" i="4"/>
  <c r="S24" i="4"/>
  <c r="O24" i="4"/>
  <c r="U24" i="4" s="1"/>
  <c r="W24" i="4" s="1"/>
  <c r="O28" i="4"/>
  <c r="U28" i="4"/>
  <c r="O31" i="4"/>
  <c r="U31" i="4" s="1"/>
  <c r="W31" i="4" s="1"/>
  <c r="O33" i="4"/>
  <c r="U33" i="4"/>
  <c r="O34" i="4"/>
  <c r="U34" i="4"/>
  <c r="W22" i="4"/>
  <c r="W23" i="4"/>
  <c r="W28" i="4"/>
  <c r="W33" i="4"/>
  <c r="W34" i="4"/>
  <c r="N71" i="1"/>
  <c r="S72" i="4"/>
  <c r="N75" i="1"/>
  <c r="S76" i="4"/>
  <c r="N71" i="4"/>
  <c r="T72" i="4"/>
  <c r="N75" i="4"/>
  <c r="T76" i="4"/>
  <c r="U76" i="4"/>
  <c r="B7" i="5"/>
  <c r="A40" i="4"/>
  <c r="A41" i="4"/>
  <c r="A42" i="4"/>
  <c r="A43" i="4"/>
  <c r="A44" i="4"/>
  <c r="A45" i="4"/>
  <c r="F32" i="4"/>
  <c r="AB25" i="4"/>
  <c r="AB28" i="4"/>
  <c r="AB24" i="4"/>
  <c r="AB29" i="4"/>
  <c r="F23" i="4"/>
  <c r="AB19" i="4"/>
  <c r="AB16" i="4"/>
  <c r="AB15" i="4"/>
  <c r="F13" i="4"/>
  <c r="F12" i="4"/>
  <c r="F33" i="4"/>
  <c r="AD21" i="4"/>
  <c r="F24" i="4"/>
  <c r="AC28" i="4"/>
  <c r="F28" i="4"/>
  <c r="N27" i="4"/>
  <c r="F15" i="4"/>
  <c r="F17" i="4"/>
  <c r="F26" i="4"/>
  <c r="F31" i="4"/>
  <c r="F21" i="4"/>
  <c r="F27" i="4"/>
  <c r="AB30" i="4"/>
  <c r="AC17" i="4"/>
  <c r="F19" i="4"/>
  <c r="F29" i="4"/>
  <c r="F22" i="4"/>
  <c r="F34" i="4"/>
  <c r="AD33" i="4"/>
  <c r="AD33" i="1"/>
  <c r="AD21" i="1"/>
  <c r="AB31" i="4"/>
  <c r="AC12" i="4"/>
  <c r="A40" i="1"/>
  <c r="A41" i="1"/>
  <c r="A42" i="1"/>
  <c r="A43" i="1"/>
  <c r="A44" i="1"/>
  <c r="A45" i="1"/>
  <c r="F13" i="1"/>
  <c r="AB25" i="1"/>
  <c r="AB28" i="1"/>
  <c r="AB24" i="1"/>
  <c r="AB29" i="1"/>
  <c r="AB19" i="1"/>
  <c r="AB15" i="1"/>
  <c r="AB16" i="1"/>
  <c r="N27" i="1"/>
  <c r="AB30" i="1"/>
  <c r="AB31" i="1"/>
  <c r="F27" i="1"/>
  <c r="AC14" i="1"/>
  <c r="F21" i="1"/>
  <c r="F22" i="1"/>
  <c r="F26" i="1"/>
  <c r="F32" i="1"/>
  <c r="F20" i="1"/>
  <c r="F17" i="1"/>
  <c r="F16" i="1"/>
  <c r="F28" i="1"/>
  <c r="F23" i="1"/>
  <c r="F34" i="1"/>
  <c r="F33" i="1"/>
  <c r="F14" i="1"/>
  <c r="AC20" i="1"/>
  <c r="AC16" i="1"/>
  <c r="AC17" i="1"/>
  <c r="AC28" i="1"/>
  <c r="F12" i="1"/>
  <c r="AC12" i="1"/>
  <c r="F25" i="1"/>
  <c r="F15" i="1"/>
  <c r="F11" i="1"/>
  <c r="F29" i="1" l="1"/>
  <c r="N31" i="1"/>
  <c r="T31" i="1" s="1"/>
  <c r="V31" i="1" s="1"/>
  <c r="O31" i="1"/>
  <c r="U31" i="1" s="1"/>
  <c r="D41" i="1" s="1"/>
  <c r="N29" i="1"/>
  <c r="O24" i="1"/>
  <c r="U24" i="1" s="1"/>
  <c r="W24" i="1" s="1"/>
  <c r="F24" i="1"/>
  <c r="T11" i="1"/>
  <c r="V11" i="1" s="1"/>
  <c r="N24" i="1"/>
  <c r="T24" i="1" s="1"/>
  <c r="V24" i="1" s="1"/>
  <c r="F31" i="1"/>
  <c r="H89" i="1"/>
  <c r="J89" i="1"/>
  <c r="F74" i="1"/>
  <c r="H74" i="1" s="1"/>
  <c r="AC15" i="1"/>
  <c r="F78" i="1"/>
  <c r="AC24" i="1"/>
  <c r="F88" i="1"/>
  <c r="T25" i="1"/>
  <c r="V25" i="1" s="1"/>
  <c r="F81" i="1"/>
  <c r="W31" i="1"/>
  <c r="D42" i="1"/>
  <c r="H72" i="1"/>
  <c r="J72" i="1"/>
  <c r="AC31" i="1"/>
  <c r="AC30" i="1"/>
  <c r="T30" i="1"/>
  <c r="V30" i="1" s="1"/>
  <c r="F30" i="1"/>
  <c r="H83" i="1"/>
  <c r="J83" i="1"/>
  <c r="J75" i="1"/>
  <c r="H75" i="1"/>
  <c r="J76" i="1"/>
  <c r="H76" i="1"/>
  <c r="F69" i="1"/>
  <c r="J69" i="1" s="1"/>
  <c r="Y35" i="1"/>
  <c r="J39" i="1" s="1"/>
  <c r="J40" i="1" s="1"/>
  <c r="L40" i="1" s="1"/>
  <c r="L42" i="1" s="1"/>
  <c r="L39" i="1" s="1"/>
  <c r="H80" i="1"/>
  <c r="J80" i="1"/>
  <c r="O19" i="1"/>
  <c r="U19" i="1" s="1"/>
  <c r="F82" i="1"/>
  <c r="J82" i="1" s="1"/>
  <c r="N19" i="1"/>
  <c r="F19" i="1"/>
  <c r="H71" i="1"/>
  <c r="H85" i="1"/>
  <c r="J85" i="1"/>
  <c r="V15" i="1"/>
  <c r="H87" i="1"/>
  <c r="H79" i="1"/>
  <c r="J79" i="1"/>
  <c r="F71" i="4"/>
  <c r="F16" i="4"/>
  <c r="N30" i="4"/>
  <c r="AC24" i="4"/>
  <c r="F30" i="4"/>
  <c r="N20" i="4"/>
  <c r="AC20" i="4" s="1"/>
  <c r="F78" i="4"/>
  <c r="J78" i="4" s="1"/>
  <c r="D42" i="4"/>
  <c r="D41" i="4"/>
  <c r="N19" i="4"/>
  <c r="F89" i="4"/>
  <c r="O19" i="4"/>
  <c r="U19" i="4" s="1"/>
  <c r="W19" i="4" s="1"/>
  <c r="N16" i="4"/>
  <c r="J72" i="4"/>
  <c r="H72" i="4"/>
  <c r="T31" i="4"/>
  <c r="V31" i="4" s="1"/>
  <c r="H74" i="4"/>
  <c r="J74" i="4"/>
  <c r="T29" i="4"/>
  <c r="V29" i="4" s="1"/>
  <c r="H83" i="4"/>
  <c r="T25" i="4"/>
  <c r="V25" i="4" s="1"/>
  <c r="AC25" i="4"/>
  <c r="F69" i="4"/>
  <c r="F25" i="4"/>
  <c r="F81" i="4"/>
  <c r="F75" i="4"/>
  <c r="J76" i="4"/>
  <c r="H76" i="4"/>
  <c r="W35" i="4"/>
  <c r="D40" i="4" s="1"/>
  <c r="H78" i="4"/>
  <c r="T20" i="4"/>
  <c r="V20" i="4" s="1"/>
  <c r="H80" i="4"/>
  <c r="J80" i="4"/>
  <c r="J71" i="4"/>
  <c r="H71" i="4"/>
  <c r="J85" i="4"/>
  <c r="H85" i="4"/>
  <c r="T15" i="4"/>
  <c r="Y14" i="4"/>
  <c r="Y35" i="4" s="1"/>
  <c r="J39" i="4" s="1"/>
  <c r="J40" i="4" s="1"/>
  <c r="L40" i="4" s="1"/>
  <c r="L42" i="4" s="1"/>
  <c r="L39" i="4" s="1"/>
  <c r="F82" i="4"/>
  <c r="N14" i="4"/>
  <c r="F87" i="4"/>
  <c r="F14" i="4"/>
  <c r="N11" i="4"/>
  <c r="F88" i="4"/>
  <c r="F79" i="4"/>
  <c r="T29" i="1" l="1"/>
  <c r="AC29" i="1"/>
  <c r="J88" i="1"/>
  <c r="H88" i="1"/>
  <c r="H78" i="1"/>
  <c r="J78" i="1"/>
  <c r="H81" i="1"/>
  <c r="J81" i="1"/>
  <c r="H69" i="1"/>
  <c r="H91" i="1" s="1"/>
  <c r="N72" i="1" s="1"/>
  <c r="S73" i="4" s="1"/>
  <c r="J74" i="1"/>
  <c r="H82" i="1"/>
  <c r="AC19" i="1"/>
  <c r="T19" i="1"/>
  <c r="J91" i="1"/>
  <c r="N73" i="1" s="1"/>
  <c r="S74" i="4" s="1"/>
  <c r="U35" i="1"/>
  <c r="D39" i="1" s="1"/>
  <c r="W19" i="1"/>
  <c r="W35" i="1" s="1"/>
  <c r="D40" i="1" s="1"/>
  <c r="L54" i="1"/>
  <c r="N70" i="1"/>
  <c r="AC30" i="4"/>
  <c r="T30" i="4"/>
  <c r="V30" i="4" s="1"/>
  <c r="U35" i="4"/>
  <c r="D39" i="4" s="1"/>
  <c r="AC16" i="4"/>
  <c r="T16" i="4"/>
  <c r="V16" i="4" s="1"/>
  <c r="H89" i="4"/>
  <c r="J89" i="4"/>
  <c r="AC19" i="4"/>
  <c r="T19" i="4"/>
  <c r="V19" i="4" s="1"/>
  <c r="D43" i="4"/>
  <c r="D44" i="4" s="1"/>
  <c r="D45" i="4" s="1"/>
  <c r="J75" i="4"/>
  <c r="H75" i="4"/>
  <c r="H69" i="4"/>
  <c r="J69" i="4"/>
  <c r="H81" i="4"/>
  <c r="J81" i="4"/>
  <c r="V15" i="4"/>
  <c r="C41" i="4"/>
  <c r="E41" i="4" s="1"/>
  <c r="H87" i="4"/>
  <c r="J87" i="4"/>
  <c r="J82" i="4"/>
  <c r="H82" i="4"/>
  <c r="T14" i="4"/>
  <c r="V14" i="4" s="1"/>
  <c r="AC14" i="4"/>
  <c r="L54" i="4"/>
  <c r="N70" i="4"/>
  <c r="T71" i="4" s="1"/>
  <c r="J88" i="4"/>
  <c r="H88" i="4"/>
  <c r="J79" i="4"/>
  <c r="H79" i="4"/>
  <c r="AC11" i="4"/>
  <c r="T11" i="4"/>
  <c r="V29" i="1" l="1"/>
  <c r="C41" i="1"/>
  <c r="E41" i="1" s="1"/>
  <c r="C42" i="1"/>
  <c r="E42" i="1" s="1"/>
  <c r="D43" i="1"/>
  <c r="V19" i="1"/>
  <c r="V35" i="1" s="1"/>
  <c r="C40" i="1" s="1"/>
  <c r="E40" i="1" s="1"/>
  <c r="T35" i="1"/>
  <c r="C39" i="1" s="1"/>
  <c r="S71" i="4"/>
  <c r="U71" i="4" s="1"/>
  <c r="H91" i="4"/>
  <c r="N72" i="4" s="1"/>
  <c r="J91" i="4"/>
  <c r="N73" i="4" s="1"/>
  <c r="D46" i="4"/>
  <c r="D47" i="4" s="1"/>
  <c r="T35" i="4"/>
  <c r="C39" i="4" s="1"/>
  <c r="V11" i="4"/>
  <c r="V35" i="4" s="1"/>
  <c r="C40" i="4" s="1"/>
  <c r="E40" i="4" s="1"/>
  <c r="C42" i="4"/>
  <c r="E42" i="4" s="1"/>
  <c r="T73" i="4"/>
  <c r="U73" i="4" s="1"/>
  <c r="T74" i="4"/>
  <c r="U74" i="4" s="1"/>
  <c r="E39" i="1" l="1"/>
  <c r="E43" i="1" s="1"/>
  <c r="C43" i="1"/>
  <c r="C44" i="1" s="1"/>
  <c r="C45" i="1" s="1"/>
  <c r="D44" i="1"/>
  <c r="D45" i="1" s="1"/>
  <c r="E39" i="4"/>
  <c r="E43" i="4" s="1"/>
  <c r="C43" i="4"/>
  <c r="D46" i="1" l="1"/>
  <c r="D47" i="1" s="1"/>
  <c r="E44" i="1"/>
  <c r="C46" i="1"/>
  <c r="E46" i="1" s="1"/>
  <c r="E45" i="1"/>
  <c r="C44" i="4"/>
  <c r="E44" i="4" s="1"/>
  <c r="C47" i="1" l="1"/>
  <c r="E47" i="1" s="1"/>
  <c r="N66" i="1" s="1"/>
  <c r="C45" i="4"/>
  <c r="C46" i="4" s="1"/>
  <c r="E48" i="1" l="1"/>
  <c r="N76" i="1"/>
  <c r="S67" i="4"/>
  <c r="E45" i="4"/>
  <c r="E46" i="4"/>
  <c r="C47" i="4"/>
  <c r="E47" i="4" s="1"/>
  <c r="E48" i="4" s="1"/>
  <c r="S77" i="4" l="1"/>
  <c r="N77" i="1"/>
  <c r="N66" i="4"/>
  <c r="N76" i="4" s="1"/>
  <c r="N77" i="4" s="1"/>
  <c r="O69" i="1" l="1"/>
  <c r="O68" i="1"/>
  <c r="O71" i="1"/>
  <c r="N78" i="1"/>
  <c r="S79" i="4" s="1"/>
  <c r="O67" i="1"/>
  <c r="O75" i="1"/>
  <c r="S78" i="4"/>
  <c r="N79" i="1"/>
  <c r="S80" i="4" s="1"/>
  <c r="O74" i="1"/>
  <c r="O72" i="1"/>
  <c r="O73" i="1"/>
  <c r="O70" i="1"/>
  <c r="O66" i="1"/>
  <c r="O76" i="1"/>
  <c r="T67" i="4"/>
  <c r="U67" i="4" s="1"/>
  <c r="O71" i="4"/>
  <c r="O67" i="4"/>
  <c r="O69" i="4"/>
  <c r="O68" i="4"/>
  <c r="N78" i="4"/>
  <c r="T79" i="4" s="1"/>
  <c r="U79" i="4" s="1"/>
  <c r="O74" i="4"/>
  <c r="O75" i="4"/>
  <c r="N79" i="4"/>
  <c r="T80" i="4" s="1"/>
  <c r="T78" i="4"/>
  <c r="U78" i="4" s="1"/>
  <c r="O70" i="4"/>
  <c r="O72" i="4"/>
  <c r="O73" i="4"/>
  <c r="T77" i="4"/>
  <c r="U77" i="4" s="1"/>
  <c r="O76" i="4"/>
  <c r="O66" i="4"/>
  <c r="U80" i="4" l="1"/>
</calcChain>
</file>

<file path=xl/sharedStrings.xml><?xml version="1.0" encoding="utf-8"?>
<sst xmlns="http://schemas.openxmlformats.org/spreadsheetml/2006/main" count="854" uniqueCount="186">
  <si>
    <t>Наименование работ</t>
  </si>
  <si>
    <t>Объем работ</t>
  </si>
  <si>
    <t>единица изм-я</t>
  </si>
  <si>
    <t>кол-во</t>
  </si>
  <si>
    <t>Сроки проведения работ</t>
  </si>
  <si>
    <t>календар.</t>
  </si>
  <si>
    <t>раб.дни</t>
  </si>
  <si>
    <t>Состав агрегата</t>
  </si>
  <si>
    <t>марка трактора, комбайна, автомашины и др.</t>
  </si>
  <si>
    <t>С/х маш.</t>
  </si>
  <si>
    <t>марка</t>
  </si>
  <si>
    <t>Число рабочих</t>
  </si>
  <si>
    <t>трактористы-машинисты</t>
  </si>
  <si>
    <t>прицепщики, ручные работы</t>
  </si>
  <si>
    <t>Норма выработки</t>
  </si>
  <si>
    <t>Количество нормо-смен в объеме работы</t>
  </si>
  <si>
    <t>трактористов-машинистов</t>
  </si>
  <si>
    <t>Тарифный разряд</t>
  </si>
  <si>
    <t>Тарифная ставка за норму (руб.,коп.)</t>
  </si>
  <si>
    <t>Тарифный фонд зарплаты на весь объем работы (руб.)</t>
  </si>
  <si>
    <t>Доп. и повыш. оплаты (руб.)</t>
  </si>
  <si>
    <t>Расход горючего</t>
  </si>
  <si>
    <t>Эталонная выработка трактора за 7-час. смену (усл.га)</t>
  </si>
  <si>
    <t>Всего выработано эталонных гектаров</t>
  </si>
  <si>
    <t>№ п/п</t>
  </si>
  <si>
    <t>Технологическая карта</t>
  </si>
  <si>
    <t>га</t>
  </si>
  <si>
    <t>МТЗ-80</t>
  </si>
  <si>
    <t>т</t>
  </si>
  <si>
    <t>−</t>
  </si>
  <si>
    <t>VIII</t>
  </si>
  <si>
    <t>IV</t>
  </si>
  <si>
    <t>V</t>
  </si>
  <si>
    <t>VI</t>
  </si>
  <si>
    <t>Лущение</t>
  </si>
  <si>
    <t>Боронование</t>
  </si>
  <si>
    <t>Погрузка мин.удобр.</t>
  </si>
  <si>
    <t>Подвоз воды</t>
  </si>
  <si>
    <t>Подвоз ядохимикатов</t>
  </si>
  <si>
    <t>Приготовление раб.р-ра</t>
  </si>
  <si>
    <t>Вспашка</t>
  </si>
  <si>
    <t>эл.двиг.</t>
  </si>
  <si>
    <t>III</t>
  </si>
  <si>
    <t>Производство продукции</t>
  </si>
  <si>
    <t>Урожайность с 1 га, ц</t>
  </si>
  <si>
    <t>Валовой сбор. ц</t>
  </si>
  <si>
    <t>Основной</t>
  </si>
  <si>
    <t>Побочной</t>
  </si>
  <si>
    <t>Нормы высева семян на 1 га, ц</t>
  </si>
  <si>
    <t>х</t>
  </si>
  <si>
    <t>трактори-стов-маши-нистов</t>
  </si>
  <si>
    <t>Т-150К</t>
  </si>
  <si>
    <t>ЛДГ-15А</t>
  </si>
  <si>
    <t>Погрузка навоза</t>
  </si>
  <si>
    <t xml:space="preserve">Предпосевная культивация </t>
  </si>
  <si>
    <t>Транспорт картофеля</t>
  </si>
  <si>
    <t>Загрузка в сажалку</t>
  </si>
  <si>
    <t>Посадка</t>
  </si>
  <si>
    <t>Междурядная обработка</t>
  </si>
  <si>
    <t>Опрыскивание</t>
  </si>
  <si>
    <t>Скашивание ботвы</t>
  </si>
  <si>
    <t>Уборка комбайновая</t>
  </si>
  <si>
    <t>Сортировка картофеля</t>
  </si>
  <si>
    <t>Закладка в хранилище</t>
  </si>
  <si>
    <t>Московкая область</t>
  </si>
  <si>
    <t>Культура - Картофель</t>
  </si>
  <si>
    <t>Сорт - Жуковский ранний</t>
  </si>
  <si>
    <t>40 ц</t>
  </si>
  <si>
    <t>Предшественник - озимые зерновые (пшеница)</t>
  </si>
  <si>
    <t>IX</t>
  </si>
  <si>
    <t>ДТ-75М</t>
  </si>
  <si>
    <t>ПБ-35</t>
  </si>
  <si>
    <t>МТЗ-82</t>
  </si>
  <si>
    <t>РОУ-5</t>
  </si>
  <si>
    <t>ПЛН-6-35</t>
  </si>
  <si>
    <t>БЗСС-1</t>
  </si>
  <si>
    <t>15+2</t>
  </si>
  <si>
    <t>ПФ-0,75Б</t>
  </si>
  <si>
    <t>МВУ-5</t>
  </si>
  <si>
    <t>Т-4А</t>
  </si>
  <si>
    <t>авто</t>
  </si>
  <si>
    <t>КСМ-4</t>
  </si>
  <si>
    <t>КРН-4,2+БЗСС-1</t>
  </si>
  <si>
    <t>АНЖ</t>
  </si>
  <si>
    <t>АПЖ-12</t>
  </si>
  <si>
    <t>КИР-1,5Б</t>
  </si>
  <si>
    <t>ОП-2000</t>
  </si>
  <si>
    <t>Е-684</t>
  </si>
  <si>
    <t>ГАЗ-САЗ-53Б</t>
  </si>
  <si>
    <t>КСП-15Б</t>
  </si>
  <si>
    <t>ТЗК-30</t>
  </si>
  <si>
    <t>25000 ц ~ 2500 т</t>
  </si>
  <si>
    <t>КСП-4+БЗСС-1</t>
  </si>
  <si>
    <t>Погрузка картофеля из хр-ща</t>
  </si>
  <si>
    <t>Разряд</t>
  </si>
  <si>
    <t>тарифная ставка</t>
  </si>
  <si>
    <t>всего, л</t>
  </si>
  <si>
    <t>Автотранспорт (тонно-км)</t>
  </si>
  <si>
    <t>Электроэнергия (квт/ч)</t>
  </si>
  <si>
    <t xml:space="preserve">норма на единицу, л/т*км </t>
  </si>
  <si>
    <t>I</t>
  </si>
  <si>
    <t>II</t>
  </si>
  <si>
    <t>Транспортировка удобр</t>
  </si>
  <si>
    <t>Внесение навоза</t>
  </si>
  <si>
    <t xml:space="preserve">Камаз </t>
  </si>
  <si>
    <t>прицеп</t>
  </si>
  <si>
    <t>Внесение мин.удобр.</t>
  </si>
  <si>
    <t>Затраты труда на весь объем работ (чел-см)</t>
  </si>
  <si>
    <t>Расчет затрат на оплату труда</t>
  </si>
  <si>
    <t>Статьи затрат</t>
  </si>
  <si>
    <t>Всего</t>
  </si>
  <si>
    <t>Итого с отчислениями:</t>
  </si>
  <si>
    <t>Отчисления на социальные нужды</t>
  </si>
  <si>
    <t>Итого с отпускными</t>
  </si>
  <si>
    <t>Тарифный фонд з/п за весь объём работы, руб.</t>
  </si>
  <si>
    <t>Доп. оплата (надбавка) за кач. И сложность на весь объём работ, руб.</t>
  </si>
  <si>
    <t>Доплата за классность (6 и выше)</t>
  </si>
  <si>
    <t>Доплата за стаж работы</t>
  </si>
  <si>
    <t>Итого</t>
  </si>
  <si>
    <t>Начисление отпускных</t>
  </si>
  <si>
    <t>Трактористов-машинистов</t>
  </si>
  <si>
    <t>Прицепщики, ручные работы</t>
  </si>
  <si>
    <t>руб./га</t>
  </si>
  <si>
    <t>Затраты на расходные материалы и электроэнергию</t>
  </si>
  <si>
    <t>Виды материалов</t>
  </si>
  <si>
    <t>Количество</t>
  </si>
  <si>
    <t>Цена за ед., руб.</t>
  </si>
  <si>
    <t>Затраты, руб.</t>
  </si>
  <si>
    <t>Топливо, всего, л</t>
  </si>
  <si>
    <t>в том числе ДТ</t>
  </si>
  <si>
    <t>Бензин</t>
  </si>
  <si>
    <t>Другие технические жидкости</t>
  </si>
  <si>
    <t>-</t>
  </si>
  <si>
    <t>Семена и посадочный материал, кг</t>
  </si>
  <si>
    <t>Минеральные удобрения, всего</t>
  </si>
  <si>
    <t>фосфорные</t>
  </si>
  <si>
    <t>калийные</t>
  </si>
  <si>
    <t>Органические удобрения, т</t>
  </si>
  <si>
    <t>Электроэнергия, кВт</t>
  </si>
  <si>
    <t>Ядохимикаты, всего</t>
  </si>
  <si>
    <t>Аренда автотранспорта, т.* км</t>
  </si>
  <si>
    <t>Мелкий инвентарь</t>
  </si>
  <si>
    <t>Всего:</t>
  </si>
  <si>
    <t>Расчет амортизации и затрат на ТОРХ</t>
  </si>
  <si>
    <t>Тип и марка машины</t>
  </si>
  <si>
    <t>Годовая норма, % от балансной стоимости</t>
  </si>
  <si>
    <t>Амортизации</t>
  </si>
  <si>
    <t>Затрат на ТОРХ</t>
  </si>
  <si>
    <t>Загрузка машины, ч</t>
  </si>
  <si>
    <t>Годовая</t>
  </si>
  <si>
    <t>Амортизационные отчисления, руб.</t>
  </si>
  <si>
    <t>на 1 ч.</t>
  </si>
  <si>
    <t>На объём работ по тех. карте</t>
  </si>
  <si>
    <t>По тех. карте</t>
  </si>
  <si>
    <t>Затраты на ТОРХ, руб.</t>
  </si>
  <si>
    <t>дизель</t>
  </si>
  <si>
    <t>бензин</t>
  </si>
  <si>
    <t>Балансная стоимость</t>
  </si>
  <si>
    <t>Итого:</t>
  </si>
  <si>
    <t>КРН-4,2</t>
  </si>
  <si>
    <t>КСП-4</t>
  </si>
  <si>
    <t>5% от ДТ+*Б</t>
  </si>
  <si>
    <t>в том числе азотные, т</t>
  </si>
  <si>
    <t>в том числе Лазурит+Зенкор ультра, л</t>
  </si>
  <si>
    <t>1.Затраты на оплату труда с отчислениями</t>
  </si>
  <si>
    <t>2.Семена и посадочный материал</t>
  </si>
  <si>
    <t>3.Удобрения (органические, минеральные)</t>
  </si>
  <si>
    <t>4.Средства защиты растений, ядохимикаты</t>
  </si>
  <si>
    <t>5.Топливо и технические жидкости</t>
  </si>
  <si>
    <t>6.Аренда автортранспорта</t>
  </si>
  <si>
    <t>7.Амортизацонные отчисления</t>
  </si>
  <si>
    <t>8.Затраты на ТО и ремонт</t>
  </si>
  <si>
    <t>10.Мелкий инвентарь</t>
  </si>
  <si>
    <t>11.Общепроизводственные затраты(5-7%)</t>
  </si>
  <si>
    <t>Всего затрат на 1 га посевной площади, руб.</t>
  </si>
  <si>
    <t>Всего затрат на 1 ц продукции, руб.</t>
  </si>
  <si>
    <t>Расчет производственной себестоимости растениеводческой продукции</t>
  </si>
  <si>
    <t>Структура,%</t>
  </si>
  <si>
    <t>9.Электроэнергия</t>
  </si>
  <si>
    <t>Сумма,  руб.</t>
  </si>
  <si>
    <t>Новый поставщик</t>
  </si>
  <si>
    <t>СРАВНЕНИЕ ЭК. ПОКАЗАТЕЛЕЙ ВЫРАЩИВАНИЯ КАРТОФЕЛЯ  ПО БАЗОВОЙ И ПРЕКТНОЙ ТЕХНОЛОГИИ</t>
  </si>
  <si>
    <t>Базовая техн.</t>
  </si>
  <si>
    <t>Проектная техн.</t>
  </si>
  <si>
    <t>Ур-нь отклонения,%</t>
  </si>
  <si>
    <t>Площадь в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</si>
</sst>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E7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2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1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3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2" fontId="0" fillId="8" borderId="0" xfId="0" applyNumberForma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right" vertical="center" wrapText="1"/>
    </xf>
    <xf numFmtId="3" fontId="6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/>
    <xf numFmtId="2" fontId="0" fillId="9" borderId="1" xfId="0" applyNumberFormat="1" applyFill="1" applyBorder="1"/>
    <xf numFmtId="1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9" borderId="1" xfId="0" applyNumberFormat="1" applyFill="1" applyBorder="1"/>
    <xf numFmtId="2" fontId="0" fillId="0" borderId="1" xfId="0" applyNumberFormat="1" applyBorder="1"/>
    <xf numFmtId="0" fontId="6" fillId="10" borderId="1" xfId="0" applyFont="1" applyFill="1" applyBorder="1"/>
    <xf numFmtId="2" fontId="6" fillId="10" borderId="1" xfId="0" applyNumberFormat="1" applyFont="1" applyFill="1" applyBorder="1"/>
    <xf numFmtId="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7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3" fillId="3" borderId="7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9" fillId="11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E73"/>
      <color rgb="FF66FFFF"/>
      <color rgb="FFFF6969"/>
      <color rgb="FFFF0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8"/>
  <sheetViews>
    <sheetView tabSelected="1" topLeftCell="A4" zoomScale="85" zoomScaleNormal="85" workbookViewId="0">
      <selection activeCell="C5" sqref="C5"/>
    </sheetView>
  </sheetViews>
  <sheetFormatPr defaultRowHeight="15" x14ac:dyDescent="0.25"/>
  <cols>
    <col min="1" max="1" width="13.5703125" customWidth="1"/>
    <col min="2" max="2" width="24.85546875" customWidth="1"/>
    <col min="3" max="3" width="12.140625" customWidth="1"/>
    <col min="4" max="4" width="12" customWidth="1"/>
    <col min="5" max="5" width="14.7109375" customWidth="1"/>
    <col min="6" max="6" width="10.28515625" customWidth="1"/>
    <col min="7" max="7" width="12.5703125" customWidth="1"/>
    <col min="8" max="8" width="13.28515625" customWidth="1"/>
    <col min="9" max="9" width="16.42578125" customWidth="1"/>
    <col min="10" max="10" width="13" customWidth="1"/>
    <col min="11" max="11" width="12.28515625" customWidth="1"/>
    <col min="12" max="12" width="17.5703125" bestFit="1" customWidth="1"/>
    <col min="13" max="13" width="20.140625" customWidth="1"/>
    <col min="14" max="14" width="17.5703125" customWidth="1"/>
    <col min="15" max="15" width="18.42578125" customWidth="1"/>
    <col min="16" max="16" width="12.28515625" customWidth="1"/>
    <col min="17" max="17" width="12" customWidth="1"/>
    <col min="18" max="18" width="10.28515625" bestFit="1" customWidth="1"/>
    <col min="19" max="19" width="9.28515625" bestFit="1" customWidth="1"/>
    <col min="20" max="20" width="10.28515625" bestFit="1" customWidth="1"/>
    <col min="21" max="21" width="11.85546875" customWidth="1"/>
    <col min="22" max="22" width="10.28515625" bestFit="1" customWidth="1"/>
    <col min="23" max="23" width="11.5703125" customWidth="1"/>
    <col min="24" max="24" width="9" customWidth="1"/>
    <col min="25" max="25" width="10.28515625" customWidth="1"/>
    <col min="26" max="26" width="9.28515625" customWidth="1"/>
    <col min="27" max="27" width="11.28515625" customWidth="1"/>
    <col min="28" max="28" width="12.7109375" customWidth="1"/>
    <col min="29" max="29" width="10.85546875" customWidth="1"/>
    <col min="30" max="30" width="9.140625" customWidth="1"/>
    <col min="31" max="31" width="4.140625" customWidth="1"/>
    <col min="32" max="32" width="48.42578125" customWidth="1"/>
    <col min="33" max="34" width="11.7109375" customWidth="1"/>
    <col min="35" max="35" width="11.5703125" customWidth="1"/>
    <col min="36" max="36" width="21.85546875" customWidth="1"/>
    <col min="39" max="39" width="15.5703125" customWidth="1"/>
    <col min="40" max="40" width="27.85546875" customWidth="1"/>
    <col min="42" max="42" width="11" customWidth="1"/>
    <col min="43" max="43" width="27" customWidth="1"/>
    <col min="44" max="44" width="11.7109375" customWidth="1"/>
    <col min="45" max="45" width="10.28515625" customWidth="1"/>
    <col min="46" max="46" width="13.5703125" customWidth="1"/>
  </cols>
  <sheetData>
    <row r="1" spans="1:46" ht="21" x14ac:dyDescent="0.35">
      <c r="A1" s="128" t="s">
        <v>25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</row>
    <row r="2" spans="1:46" ht="21" x14ac:dyDescent="0.35">
      <c r="A2" s="4"/>
      <c r="B2" s="9" t="s">
        <v>64</v>
      </c>
      <c r="C2" s="4"/>
      <c r="D2" s="4"/>
      <c r="E2" s="4"/>
      <c r="F2" s="4"/>
      <c r="G2" s="4"/>
      <c r="H2" s="4"/>
      <c r="I2" s="4"/>
      <c r="J2" s="4"/>
      <c r="K2" s="4"/>
      <c r="L2" s="111" t="s">
        <v>43</v>
      </c>
      <c r="M2" s="111"/>
      <c r="N2" s="111"/>
      <c r="O2" s="111"/>
      <c r="P2" s="111" t="s">
        <v>44</v>
      </c>
      <c r="Q2" s="111"/>
      <c r="R2" s="111"/>
      <c r="S2" s="112" t="s">
        <v>45</v>
      </c>
      <c r="T2" s="112"/>
      <c r="U2" s="112"/>
      <c r="V2" s="4"/>
      <c r="W2" s="4"/>
      <c r="X2" s="4"/>
      <c r="Y2" s="4"/>
      <c r="Z2" s="4"/>
      <c r="AA2" s="4"/>
      <c r="AB2" s="4"/>
      <c r="AC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6" ht="21" x14ac:dyDescent="0.35">
      <c r="A3" s="4"/>
      <c r="B3" s="10" t="s">
        <v>65</v>
      </c>
      <c r="C3" s="4"/>
      <c r="D3" s="4"/>
      <c r="E3" s="4"/>
      <c r="F3" s="4"/>
      <c r="G3" s="4"/>
      <c r="H3" s="4"/>
      <c r="I3" s="4"/>
      <c r="J3" s="4"/>
      <c r="K3" s="4"/>
      <c r="L3" s="111" t="s">
        <v>46</v>
      </c>
      <c r="M3" s="111"/>
      <c r="N3" s="111"/>
      <c r="O3" s="111"/>
      <c r="P3" s="111">
        <v>250</v>
      </c>
      <c r="Q3" s="111"/>
      <c r="R3" s="111"/>
      <c r="S3" s="112" t="s">
        <v>91</v>
      </c>
      <c r="T3" s="112"/>
      <c r="U3" s="112"/>
      <c r="V3" s="4"/>
      <c r="W3" s="4"/>
      <c r="X3" s="4"/>
      <c r="Y3" s="4"/>
      <c r="Z3" s="4"/>
      <c r="AA3" s="4"/>
      <c r="AB3" s="4"/>
      <c r="AC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6" ht="21" x14ac:dyDescent="0.35">
      <c r="A4" s="4"/>
      <c r="B4" s="10" t="s">
        <v>66</v>
      </c>
      <c r="C4" s="4"/>
      <c r="D4" s="4"/>
      <c r="E4" s="4"/>
      <c r="F4" s="4"/>
      <c r="G4" s="4"/>
      <c r="H4" s="4"/>
      <c r="I4" s="4"/>
      <c r="J4" s="4"/>
      <c r="K4" s="4"/>
      <c r="L4" s="111" t="s">
        <v>47</v>
      </c>
      <c r="M4" s="111"/>
      <c r="N4" s="111"/>
      <c r="O4" s="111"/>
      <c r="P4" s="111" t="s">
        <v>49</v>
      </c>
      <c r="Q4" s="111"/>
      <c r="R4" s="111"/>
      <c r="S4" s="112" t="s">
        <v>49</v>
      </c>
      <c r="T4" s="112"/>
      <c r="U4" s="112"/>
      <c r="V4" s="4"/>
      <c r="W4" s="4"/>
      <c r="X4" s="4"/>
      <c r="Y4" s="4"/>
      <c r="Z4" s="4"/>
      <c r="AA4" s="4"/>
      <c r="AB4" s="4"/>
      <c r="AC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6" ht="21" x14ac:dyDescent="0.35">
      <c r="A5" s="4"/>
      <c r="B5" s="10" t="s">
        <v>185</v>
      </c>
      <c r="C5" s="10">
        <v>100</v>
      </c>
      <c r="D5" s="4"/>
      <c r="E5" s="4"/>
      <c r="F5" s="4"/>
      <c r="G5" s="4"/>
      <c r="H5" s="4"/>
      <c r="I5" s="4"/>
      <c r="J5" s="4"/>
      <c r="K5" s="4"/>
      <c r="L5" s="111" t="s">
        <v>48</v>
      </c>
      <c r="M5" s="111"/>
      <c r="N5" s="111"/>
      <c r="O5" s="111"/>
      <c r="P5" s="111" t="s">
        <v>49</v>
      </c>
      <c r="Q5" s="111"/>
      <c r="R5" s="111"/>
      <c r="S5" s="112" t="s">
        <v>67</v>
      </c>
      <c r="T5" s="112"/>
      <c r="U5" s="112"/>
      <c r="V5" s="4"/>
      <c r="W5" s="4"/>
      <c r="X5" s="11" t="s">
        <v>68</v>
      </c>
      <c r="Y5" s="11"/>
      <c r="Z5" s="11"/>
      <c r="AA5" s="4"/>
      <c r="AB5" s="4"/>
      <c r="AC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7" spans="1:46" ht="27.75" customHeight="1" x14ac:dyDescent="0.25">
      <c r="A7" s="108" t="s">
        <v>24</v>
      </c>
      <c r="B7" s="117" t="s">
        <v>0</v>
      </c>
      <c r="C7" s="117" t="s">
        <v>1</v>
      </c>
      <c r="D7" s="117"/>
      <c r="E7" s="115" t="s">
        <v>4</v>
      </c>
      <c r="F7" s="115"/>
      <c r="G7" s="117" t="s">
        <v>7</v>
      </c>
      <c r="H7" s="117"/>
      <c r="I7" s="117"/>
      <c r="J7" s="117" t="s">
        <v>11</v>
      </c>
      <c r="K7" s="117"/>
      <c r="L7" s="118" t="s">
        <v>14</v>
      </c>
      <c r="M7" s="118" t="s">
        <v>15</v>
      </c>
      <c r="N7" s="119" t="s">
        <v>107</v>
      </c>
      <c r="O7" s="120"/>
      <c r="P7" s="118" t="s">
        <v>17</v>
      </c>
      <c r="Q7" s="118"/>
      <c r="R7" s="129" t="s">
        <v>18</v>
      </c>
      <c r="S7" s="129"/>
      <c r="T7" s="129" t="s">
        <v>19</v>
      </c>
      <c r="U7" s="129"/>
      <c r="V7" s="129" t="s">
        <v>20</v>
      </c>
      <c r="W7" s="129"/>
      <c r="X7" s="129" t="s">
        <v>21</v>
      </c>
      <c r="Y7" s="129"/>
      <c r="Z7" s="125" t="s">
        <v>97</v>
      </c>
      <c r="AA7" s="125" t="s">
        <v>98</v>
      </c>
      <c r="AB7" s="123" t="s">
        <v>22</v>
      </c>
      <c r="AC7" s="123" t="s">
        <v>23</v>
      </c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</row>
    <row r="8" spans="1:46" ht="56.25" customHeight="1" x14ac:dyDescent="0.25">
      <c r="A8" s="109"/>
      <c r="B8" s="117"/>
      <c r="C8" s="118" t="s">
        <v>2</v>
      </c>
      <c r="D8" s="117" t="s">
        <v>3</v>
      </c>
      <c r="E8" s="117" t="s">
        <v>5</v>
      </c>
      <c r="F8" s="117" t="s">
        <v>6</v>
      </c>
      <c r="G8" s="115" t="s">
        <v>8</v>
      </c>
      <c r="H8" s="113" t="s">
        <v>9</v>
      </c>
      <c r="I8" s="114"/>
      <c r="J8" s="118" t="s">
        <v>12</v>
      </c>
      <c r="K8" s="118" t="s">
        <v>13</v>
      </c>
      <c r="L8" s="118"/>
      <c r="M8" s="118"/>
      <c r="N8" s="108" t="s">
        <v>50</v>
      </c>
      <c r="O8" s="118" t="s">
        <v>13</v>
      </c>
      <c r="P8" s="118" t="s">
        <v>16</v>
      </c>
      <c r="Q8" s="118" t="s">
        <v>13</v>
      </c>
      <c r="R8" s="129" t="s">
        <v>16</v>
      </c>
      <c r="S8" s="129" t="s">
        <v>13</v>
      </c>
      <c r="T8" s="129" t="s">
        <v>16</v>
      </c>
      <c r="U8" s="129" t="s">
        <v>13</v>
      </c>
      <c r="V8" s="129" t="s">
        <v>16</v>
      </c>
      <c r="W8" s="129" t="s">
        <v>13</v>
      </c>
      <c r="X8" s="129" t="s">
        <v>99</v>
      </c>
      <c r="Y8" s="129" t="s">
        <v>96</v>
      </c>
      <c r="Z8" s="126"/>
      <c r="AA8" s="126"/>
      <c r="AB8" s="123"/>
      <c r="AC8" s="123"/>
      <c r="AE8" s="106"/>
      <c r="AF8" s="106"/>
      <c r="AG8" s="22"/>
      <c r="AH8" s="22"/>
      <c r="AI8" s="22"/>
      <c r="AJ8" s="106"/>
      <c r="AK8" s="106"/>
      <c r="AL8" s="22"/>
      <c r="AM8" s="22"/>
      <c r="AN8" s="106"/>
      <c r="AO8" s="22"/>
      <c r="AP8" s="22"/>
      <c r="AQ8" s="106"/>
      <c r="AR8" s="106"/>
      <c r="AS8" s="22"/>
      <c r="AT8" s="22"/>
    </row>
    <row r="9" spans="1:46" x14ac:dyDescent="0.25">
      <c r="A9" s="110"/>
      <c r="B9" s="130"/>
      <c r="C9" s="108"/>
      <c r="D9" s="130"/>
      <c r="E9" s="130"/>
      <c r="F9" s="130"/>
      <c r="G9" s="116"/>
      <c r="H9" s="12" t="s">
        <v>10</v>
      </c>
      <c r="I9" s="12" t="s">
        <v>3</v>
      </c>
      <c r="J9" s="108"/>
      <c r="K9" s="108"/>
      <c r="L9" s="108"/>
      <c r="M9" s="108"/>
      <c r="N9" s="110"/>
      <c r="O9" s="108"/>
      <c r="P9" s="108"/>
      <c r="Q9" s="108"/>
      <c r="R9" s="125"/>
      <c r="S9" s="125"/>
      <c r="T9" s="125"/>
      <c r="U9" s="125"/>
      <c r="V9" s="125"/>
      <c r="W9" s="125"/>
      <c r="X9" s="125"/>
      <c r="Y9" s="125"/>
      <c r="Z9" s="127"/>
      <c r="AA9" s="127"/>
      <c r="AB9" s="124"/>
      <c r="AC9" s="124"/>
      <c r="AE9" s="1"/>
      <c r="AF9" s="23"/>
      <c r="AG9" s="8"/>
      <c r="AH9" s="8"/>
      <c r="AI9" s="8"/>
      <c r="AK9" s="8"/>
      <c r="AL9" s="8"/>
      <c r="AM9" s="8"/>
      <c r="AN9" s="24"/>
      <c r="AO9" s="8"/>
      <c r="AP9" s="8"/>
      <c r="AQ9" s="23"/>
      <c r="AR9" s="8"/>
      <c r="AS9" s="8"/>
      <c r="AT9" s="8"/>
    </row>
    <row r="10" spans="1:46" x14ac:dyDescent="0.25">
      <c r="A10" s="15"/>
      <c r="B10" s="12">
        <v>1</v>
      </c>
      <c r="C10" s="13">
        <v>2</v>
      </c>
      <c r="D10" s="12">
        <v>3</v>
      </c>
      <c r="E10" s="12">
        <v>4</v>
      </c>
      <c r="F10" s="12">
        <v>5</v>
      </c>
      <c r="G10" s="14">
        <v>6</v>
      </c>
      <c r="H10" s="12">
        <v>7</v>
      </c>
      <c r="I10" s="12">
        <v>8</v>
      </c>
      <c r="J10" s="13">
        <v>9</v>
      </c>
      <c r="K10" s="13">
        <v>10</v>
      </c>
      <c r="L10" s="13">
        <v>11</v>
      </c>
      <c r="M10" s="13">
        <v>12</v>
      </c>
      <c r="N10" s="13">
        <v>13</v>
      </c>
      <c r="O10" s="13">
        <v>14</v>
      </c>
      <c r="P10" s="13">
        <v>15</v>
      </c>
      <c r="Q10" s="13">
        <v>16</v>
      </c>
      <c r="R10" s="35">
        <v>17</v>
      </c>
      <c r="S10" s="35">
        <v>18</v>
      </c>
      <c r="T10" s="35">
        <v>19</v>
      </c>
      <c r="U10" s="35">
        <v>20</v>
      </c>
      <c r="V10" s="35">
        <v>21</v>
      </c>
      <c r="W10" s="35">
        <v>22</v>
      </c>
      <c r="X10" s="35">
        <v>23</v>
      </c>
      <c r="Y10" s="35">
        <v>24</v>
      </c>
      <c r="Z10" s="38">
        <v>25</v>
      </c>
      <c r="AA10" s="36">
        <v>26</v>
      </c>
      <c r="AB10" s="37">
        <v>27</v>
      </c>
      <c r="AC10" s="37">
        <v>28</v>
      </c>
      <c r="AE10" s="1"/>
      <c r="AF10" s="23"/>
      <c r="AG10" s="8"/>
      <c r="AH10" s="8"/>
      <c r="AI10" s="8"/>
      <c r="AK10" s="8"/>
      <c r="AL10" s="8"/>
      <c r="AM10" s="8"/>
      <c r="AN10" s="25"/>
      <c r="AO10" s="8"/>
      <c r="AP10" s="8"/>
      <c r="AQ10" s="23"/>
      <c r="AR10" s="8"/>
      <c r="AS10" s="8"/>
      <c r="AT10" s="8"/>
    </row>
    <row r="11" spans="1:46" x14ac:dyDescent="0.25">
      <c r="A11" s="5">
        <v>1</v>
      </c>
      <c r="B11" s="6" t="s">
        <v>34</v>
      </c>
      <c r="C11" s="5" t="s">
        <v>26</v>
      </c>
      <c r="D11" s="5">
        <f>$C$5</f>
        <v>100</v>
      </c>
      <c r="E11" s="5" t="s">
        <v>30</v>
      </c>
      <c r="F11" s="16">
        <f>M11</f>
        <v>3.125</v>
      </c>
      <c r="G11" s="5" t="s">
        <v>51</v>
      </c>
      <c r="H11" s="5" t="s">
        <v>52</v>
      </c>
      <c r="I11" s="5">
        <v>1</v>
      </c>
      <c r="J11" s="5">
        <v>1</v>
      </c>
      <c r="K11" s="17" t="s">
        <v>29</v>
      </c>
      <c r="L11" s="5">
        <v>32</v>
      </c>
      <c r="M11" s="7">
        <f>D11/L11</f>
        <v>3.125</v>
      </c>
      <c r="N11" s="7">
        <f>M11*J11</f>
        <v>3.125</v>
      </c>
      <c r="O11" s="7" t="s">
        <v>29</v>
      </c>
      <c r="P11" s="5" t="s">
        <v>32</v>
      </c>
      <c r="Q11" s="5" t="s">
        <v>29</v>
      </c>
      <c r="R11" s="7">
        <v>1069.5496070454549</v>
      </c>
      <c r="S11" s="5" t="s">
        <v>29</v>
      </c>
      <c r="T11" s="7">
        <f t="shared" ref="T11:T26" si="0">R11*N11</f>
        <v>3342.3425220170466</v>
      </c>
      <c r="U11" s="7" t="s">
        <v>29</v>
      </c>
      <c r="V11" s="7">
        <f>T11*0.25</f>
        <v>835.58563050426164</v>
      </c>
      <c r="W11" s="7" t="s">
        <v>29</v>
      </c>
      <c r="X11" s="44">
        <v>5.8</v>
      </c>
      <c r="Y11" s="44">
        <f t="shared" ref="Y11:Y32" si="1">X11*D11</f>
        <v>580</v>
      </c>
      <c r="Z11" s="7"/>
      <c r="AA11" s="7"/>
      <c r="AB11" s="7">
        <v>11.6</v>
      </c>
      <c r="AC11" s="7">
        <f>AB11*N11</f>
        <v>36.25</v>
      </c>
      <c r="AE11" s="1"/>
      <c r="AF11" s="23"/>
      <c r="AG11" s="8"/>
      <c r="AH11" s="8"/>
      <c r="AI11" s="8"/>
      <c r="AK11" s="8"/>
      <c r="AL11" s="8"/>
      <c r="AM11" s="8"/>
      <c r="AN11" s="25"/>
      <c r="AO11" s="8"/>
      <c r="AP11" s="8"/>
      <c r="AQ11" s="23"/>
      <c r="AR11" s="8"/>
      <c r="AS11" s="8"/>
      <c r="AT11" s="8"/>
    </row>
    <row r="12" spans="1:46" x14ac:dyDescent="0.25">
      <c r="A12" s="5">
        <v>2</v>
      </c>
      <c r="B12" s="6" t="s">
        <v>53</v>
      </c>
      <c r="C12" s="5" t="s">
        <v>28</v>
      </c>
      <c r="D12" s="5">
        <v>5000</v>
      </c>
      <c r="E12" s="5" t="s">
        <v>69</v>
      </c>
      <c r="F12" s="16">
        <f t="shared" ref="F12:F34" si="2">M12</f>
        <v>41.666666666666664</v>
      </c>
      <c r="G12" s="5" t="s">
        <v>70</v>
      </c>
      <c r="H12" s="5" t="s">
        <v>71</v>
      </c>
      <c r="I12" s="5">
        <v>1</v>
      </c>
      <c r="J12" s="5">
        <v>1</v>
      </c>
      <c r="K12" s="17" t="s">
        <v>29</v>
      </c>
      <c r="L12" s="5">
        <v>120</v>
      </c>
      <c r="M12" s="7">
        <f>D12/L12</f>
        <v>41.666666666666664</v>
      </c>
      <c r="N12" s="7">
        <f t="shared" ref="N12:N34" si="3">M12*J12</f>
        <v>41.666666666666664</v>
      </c>
      <c r="O12" s="7" t="s">
        <v>29</v>
      </c>
      <c r="P12" s="5" t="s">
        <v>32</v>
      </c>
      <c r="Q12" s="5" t="s">
        <v>29</v>
      </c>
      <c r="R12" s="7">
        <v>1069.5496070454549</v>
      </c>
      <c r="S12" s="5" t="s">
        <v>29</v>
      </c>
      <c r="T12" s="7">
        <f t="shared" si="0"/>
        <v>44564.566960227283</v>
      </c>
      <c r="U12" s="7" t="s">
        <v>29</v>
      </c>
      <c r="V12" s="7">
        <f>T12*0.15</f>
        <v>6684.6850440340922</v>
      </c>
      <c r="W12" s="7" t="s">
        <v>29</v>
      </c>
      <c r="X12" s="44">
        <v>0.12</v>
      </c>
      <c r="Y12" s="44">
        <f t="shared" si="1"/>
        <v>600</v>
      </c>
      <c r="Z12" s="7"/>
      <c r="AA12" s="7"/>
      <c r="AB12" s="7">
        <v>7</v>
      </c>
      <c r="AC12" s="7">
        <f>AB12*N12</f>
        <v>291.66666666666663</v>
      </c>
      <c r="AE12" s="22"/>
      <c r="AF12" s="26"/>
      <c r="AG12" s="27"/>
      <c r="AH12" s="27"/>
      <c r="AI12" s="27"/>
      <c r="AJ12" s="28"/>
      <c r="AK12" s="27"/>
      <c r="AL12" s="27"/>
      <c r="AM12" s="27"/>
      <c r="AN12" s="28"/>
      <c r="AO12" s="27"/>
      <c r="AP12" s="27"/>
      <c r="AQ12" s="26"/>
      <c r="AR12" s="27"/>
      <c r="AS12" s="27"/>
      <c r="AT12" s="27"/>
    </row>
    <row r="13" spans="1:46" s="63" customFormat="1" x14ac:dyDescent="0.25">
      <c r="A13" s="62">
        <v>3</v>
      </c>
      <c r="B13" s="66" t="s">
        <v>102</v>
      </c>
      <c r="C13" s="62" t="s">
        <v>28</v>
      </c>
      <c r="D13" s="62">
        <v>5000</v>
      </c>
      <c r="E13" s="62" t="s">
        <v>69</v>
      </c>
      <c r="F13" s="67">
        <f t="shared" si="2"/>
        <v>62.5</v>
      </c>
      <c r="G13" s="62" t="s">
        <v>104</v>
      </c>
      <c r="H13" s="62" t="s">
        <v>105</v>
      </c>
      <c r="I13" s="62">
        <v>1</v>
      </c>
      <c r="J13" s="62">
        <v>1</v>
      </c>
      <c r="K13" s="74"/>
      <c r="L13" s="62">
        <v>80</v>
      </c>
      <c r="M13" s="68">
        <f>D13/L13</f>
        <v>62.5</v>
      </c>
      <c r="N13" s="68">
        <f t="shared" si="3"/>
        <v>62.5</v>
      </c>
      <c r="O13" s="68"/>
      <c r="P13" s="62" t="s">
        <v>32</v>
      </c>
      <c r="Q13" s="62"/>
      <c r="R13" s="68">
        <v>1069.5496070454549</v>
      </c>
      <c r="S13" s="62"/>
      <c r="T13" s="68">
        <f t="shared" si="0"/>
        <v>66846.850440340932</v>
      </c>
      <c r="U13" s="68"/>
      <c r="V13" s="68">
        <f>T13*0.15</f>
        <v>10027.02756605114</v>
      </c>
      <c r="W13" s="68"/>
      <c r="X13" s="68">
        <v>1.8</v>
      </c>
      <c r="Y13" s="68">
        <f t="shared" si="1"/>
        <v>9000</v>
      </c>
      <c r="Z13" s="68"/>
      <c r="AA13" s="68"/>
      <c r="AB13" s="68"/>
      <c r="AC13" s="68"/>
      <c r="AE13" s="77"/>
      <c r="AF13" s="78"/>
      <c r="AG13" s="79"/>
      <c r="AH13" s="79"/>
      <c r="AI13" s="79"/>
      <c r="AJ13" s="80"/>
      <c r="AK13" s="79"/>
      <c r="AL13" s="79"/>
      <c r="AM13" s="79"/>
      <c r="AN13" s="80"/>
      <c r="AO13" s="79"/>
      <c r="AP13" s="79"/>
      <c r="AQ13" s="78"/>
      <c r="AR13" s="79"/>
      <c r="AS13" s="79"/>
      <c r="AT13" s="79"/>
    </row>
    <row r="14" spans="1:46" s="2" customFormat="1" ht="20.25" customHeight="1" x14ac:dyDescent="0.25">
      <c r="A14" s="3">
        <v>4</v>
      </c>
      <c r="B14" s="18" t="s">
        <v>103</v>
      </c>
      <c r="C14" s="3" t="s">
        <v>26</v>
      </c>
      <c r="D14" s="3">
        <f>$C$5</f>
        <v>100</v>
      </c>
      <c r="E14" s="3" t="s">
        <v>69</v>
      </c>
      <c r="F14" s="16">
        <f t="shared" si="2"/>
        <v>4</v>
      </c>
      <c r="G14" s="3" t="s">
        <v>72</v>
      </c>
      <c r="H14" s="3" t="s">
        <v>73</v>
      </c>
      <c r="I14" s="3">
        <v>2</v>
      </c>
      <c r="J14" s="3">
        <v>1</v>
      </c>
      <c r="K14" s="17" t="s">
        <v>29</v>
      </c>
      <c r="L14" s="3">
        <v>25</v>
      </c>
      <c r="M14" s="7">
        <f t="shared" ref="M14:M34" si="4">D14/L14</f>
        <v>4</v>
      </c>
      <c r="N14" s="7">
        <f t="shared" si="3"/>
        <v>4</v>
      </c>
      <c r="O14" s="7" t="s">
        <v>29</v>
      </c>
      <c r="P14" s="5" t="s">
        <v>31</v>
      </c>
      <c r="Q14" s="5" t="s">
        <v>29</v>
      </c>
      <c r="R14" s="7">
        <f>'Тарифная ставка по разряду'!B5</f>
        <v>963.55820454545483</v>
      </c>
      <c r="S14" s="5" t="s">
        <v>29</v>
      </c>
      <c r="T14" s="7">
        <f t="shared" si="0"/>
        <v>3854.2328181818193</v>
      </c>
      <c r="U14" s="7" t="s">
        <v>29</v>
      </c>
      <c r="V14" s="7">
        <f>T14*0.25</f>
        <v>963.55820454545483</v>
      </c>
      <c r="W14" s="7" t="s">
        <v>29</v>
      </c>
      <c r="X14" s="45">
        <v>4.5999999999999996</v>
      </c>
      <c r="Y14" s="44">
        <f t="shared" si="1"/>
        <v>459.99999999999994</v>
      </c>
      <c r="Z14" s="7"/>
      <c r="AA14" s="7"/>
      <c r="AB14" s="7">
        <v>5.0999999999999996</v>
      </c>
      <c r="AC14" s="7">
        <f>AB14*N14</f>
        <v>20.399999999999999</v>
      </c>
      <c r="AE14" s="1"/>
      <c r="AF14" s="23"/>
      <c r="AG14" s="27"/>
      <c r="AH14" s="27"/>
      <c r="AI14" s="27"/>
      <c r="AJ14" s="121"/>
      <c r="AK14" s="122"/>
      <c r="AL14" s="122"/>
      <c r="AM14" s="122"/>
      <c r="AN14" s="25"/>
      <c r="AO14" s="8"/>
      <c r="AP14" s="8"/>
      <c r="AQ14" s="23"/>
      <c r="AR14" s="8"/>
      <c r="AS14" s="8"/>
      <c r="AT14" s="8"/>
    </row>
    <row r="15" spans="1:46" x14ac:dyDescent="0.25">
      <c r="A15" s="5">
        <v>5</v>
      </c>
      <c r="B15" s="6" t="s">
        <v>40</v>
      </c>
      <c r="C15" s="5" t="s">
        <v>26</v>
      </c>
      <c r="D15" s="5">
        <f>$C$5</f>
        <v>100</v>
      </c>
      <c r="E15" s="5" t="s">
        <v>69</v>
      </c>
      <c r="F15" s="16">
        <f t="shared" si="2"/>
        <v>9.2592592592592595</v>
      </c>
      <c r="G15" s="17" t="s">
        <v>51</v>
      </c>
      <c r="H15" s="5" t="s">
        <v>74</v>
      </c>
      <c r="I15" s="5">
        <v>1</v>
      </c>
      <c r="J15" s="17">
        <v>1</v>
      </c>
      <c r="K15" s="17" t="s">
        <v>29</v>
      </c>
      <c r="L15" s="5">
        <v>10.8</v>
      </c>
      <c r="M15" s="7">
        <f t="shared" si="4"/>
        <v>9.2592592592592595</v>
      </c>
      <c r="N15" s="7">
        <f t="shared" si="3"/>
        <v>9.2592592592592595</v>
      </c>
      <c r="O15" s="7" t="s">
        <v>29</v>
      </c>
      <c r="P15" s="5" t="s">
        <v>33</v>
      </c>
      <c r="Q15" s="5" t="s">
        <v>29</v>
      </c>
      <c r="R15" s="7">
        <f>'Тарифная ставка по разряду'!B7</f>
        <v>1187.2000638204549</v>
      </c>
      <c r="S15" s="5" t="s">
        <v>29</v>
      </c>
      <c r="T15" s="7">
        <f t="shared" si="0"/>
        <v>10992.593183522731</v>
      </c>
      <c r="U15" s="7" t="s">
        <v>29</v>
      </c>
      <c r="V15" s="7">
        <f>T15*0.25</f>
        <v>2748.1482958806828</v>
      </c>
      <c r="W15" s="7" t="s">
        <v>29</v>
      </c>
      <c r="X15" s="44">
        <v>8.4</v>
      </c>
      <c r="Y15" s="44">
        <f t="shared" si="1"/>
        <v>840</v>
      </c>
      <c r="Z15" s="7"/>
      <c r="AA15" s="7"/>
      <c r="AB15" s="7">
        <f>AB11</f>
        <v>11.6</v>
      </c>
      <c r="AC15" s="7">
        <f>AB15*N15</f>
        <v>107.4074074074074</v>
      </c>
      <c r="AE15" s="1"/>
      <c r="AF15" s="23"/>
      <c r="AG15" s="8"/>
      <c r="AH15" s="8"/>
      <c r="AI15" s="8"/>
      <c r="AJ15" s="121"/>
      <c r="AK15" s="122"/>
      <c r="AL15" s="122"/>
      <c r="AM15" s="122"/>
      <c r="AN15" s="24"/>
      <c r="AO15" s="8"/>
      <c r="AP15" s="8"/>
      <c r="AQ15" s="23"/>
      <c r="AR15" s="8"/>
      <c r="AS15" s="8"/>
      <c r="AT15" s="8"/>
    </row>
    <row r="16" spans="1:46" x14ac:dyDescent="0.25">
      <c r="A16" s="5">
        <v>6</v>
      </c>
      <c r="B16" s="6" t="s">
        <v>35</v>
      </c>
      <c r="C16" s="5" t="s">
        <v>26</v>
      </c>
      <c r="D16" s="5">
        <f>$C$5</f>
        <v>100</v>
      </c>
      <c r="E16" s="5" t="s">
        <v>31</v>
      </c>
      <c r="F16" s="16">
        <f t="shared" si="2"/>
        <v>1.9230769230769231</v>
      </c>
      <c r="G16" s="5" t="s">
        <v>70</v>
      </c>
      <c r="H16" s="5" t="s">
        <v>75</v>
      </c>
      <c r="I16" s="5" t="s">
        <v>76</v>
      </c>
      <c r="J16" s="5">
        <v>1</v>
      </c>
      <c r="K16" s="17" t="s">
        <v>29</v>
      </c>
      <c r="L16" s="5">
        <v>52</v>
      </c>
      <c r="M16" s="7">
        <f t="shared" si="4"/>
        <v>1.9230769230769231</v>
      </c>
      <c r="N16" s="7">
        <f t="shared" si="3"/>
        <v>1.9230769230769231</v>
      </c>
      <c r="O16" s="7" t="s">
        <v>29</v>
      </c>
      <c r="P16" s="5" t="s">
        <v>31</v>
      </c>
      <c r="Q16" s="5" t="s">
        <v>29</v>
      </c>
      <c r="R16" s="7">
        <v>963.55820454545483</v>
      </c>
      <c r="S16" s="5" t="s">
        <v>29</v>
      </c>
      <c r="T16" s="7">
        <f t="shared" si="0"/>
        <v>1852.9965472027977</v>
      </c>
      <c r="U16" s="7" t="s">
        <v>29</v>
      </c>
      <c r="V16" s="7">
        <f>T16*0.25</f>
        <v>463.24913680069943</v>
      </c>
      <c r="W16" s="7" t="s">
        <v>29</v>
      </c>
      <c r="X16" s="44">
        <v>6.4</v>
      </c>
      <c r="Y16" s="44">
        <f t="shared" si="1"/>
        <v>640</v>
      </c>
      <c r="Z16" s="7"/>
      <c r="AA16" s="7"/>
      <c r="AB16" s="7">
        <f>AB12</f>
        <v>7</v>
      </c>
      <c r="AC16" s="7">
        <f>AB16*N16</f>
        <v>13.461538461538462</v>
      </c>
      <c r="AE16" s="1"/>
      <c r="AF16" s="23"/>
      <c r="AG16" s="8"/>
      <c r="AH16" s="8"/>
      <c r="AI16" s="8"/>
      <c r="AJ16" s="25"/>
      <c r="AK16" s="8"/>
      <c r="AL16" s="8"/>
      <c r="AM16" s="8"/>
      <c r="AN16" s="25"/>
      <c r="AO16" s="8"/>
      <c r="AP16" s="8"/>
      <c r="AQ16" s="29"/>
      <c r="AR16" s="8"/>
      <c r="AS16" s="8"/>
      <c r="AT16" s="8"/>
    </row>
    <row r="17" spans="1:46" x14ac:dyDescent="0.25">
      <c r="A17" s="5">
        <v>7</v>
      </c>
      <c r="B17" s="6" t="s">
        <v>36</v>
      </c>
      <c r="C17" s="5" t="s">
        <v>28</v>
      </c>
      <c r="D17" s="5">
        <v>60</v>
      </c>
      <c r="E17" s="5" t="s">
        <v>31</v>
      </c>
      <c r="F17" s="16">
        <f t="shared" si="2"/>
        <v>0.92307692307692313</v>
      </c>
      <c r="G17" s="5" t="s">
        <v>27</v>
      </c>
      <c r="H17" s="5" t="s">
        <v>77</v>
      </c>
      <c r="I17" s="5">
        <v>1</v>
      </c>
      <c r="J17" s="5">
        <v>1</v>
      </c>
      <c r="K17" s="17" t="s">
        <v>29</v>
      </c>
      <c r="L17" s="5">
        <v>65</v>
      </c>
      <c r="M17" s="7">
        <f t="shared" si="4"/>
        <v>0.92307692307692313</v>
      </c>
      <c r="N17" s="7">
        <f t="shared" si="3"/>
        <v>0.92307692307692313</v>
      </c>
      <c r="O17" s="7" t="s">
        <v>29</v>
      </c>
      <c r="P17" s="5" t="s">
        <v>31</v>
      </c>
      <c r="Q17" s="5" t="s">
        <v>29</v>
      </c>
      <c r="R17" s="7">
        <v>963.55820454545483</v>
      </c>
      <c r="S17" s="5" t="s">
        <v>29</v>
      </c>
      <c r="T17" s="7">
        <f t="shared" si="0"/>
        <v>889.43834265734301</v>
      </c>
      <c r="U17" s="7" t="s">
        <v>29</v>
      </c>
      <c r="V17" s="7">
        <f>T17*0.15</f>
        <v>133.41575139860146</v>
      </c>
      <c r="W17" s="7" t="s">
        <v>29</v>
      </c>
      <c r="X17" s="44">
        <v>0.2</v>
      </c>
      <c r="Y17" s="44">
        <f t="shared" si="1"/>
        <v>12</v>
      </c>
      <c r="Z17" s="7"/>
      <c r="AA17" s="7"/>
      <c r="AB17" s="7">
        <v>4.9000000000000004</v>
      </c>
      <c r="AC17" s="7">
        <f>AB17*N17</f>
        <v>4.5230769230769239</v>
      </c>
      <c r="AE17" s="1"/>
      <c r="AF17" s="23"/>
      <c r="AG17" s="8"/>
      <c r="AH17" s="8"/>
      <c r="AI17" s="8"/>
      <c r="AK17" s="8"/>
      <c r="AL17" s="8"/>
      <c r="AM17" s="8"/>
      <c r="AN17" s="25"/>
      <c r="AO17" s="8"/>
      <c r="AP17" s="8"/>
      <c r="AQ17" s="29"/>
      <c r="AR17" s="8"/>
      <c r="AS17" s="8"/>
      <c r="AT17" s="8"/>
    </row>
    <row r="18" spans="1:46" s="63" customFormat="1" x14ac:dyDescent="0.25">
      <c r="A18" s="62"/>
      <c r="B18" s="66" t="s">
        <v>102</v>
      </c>
      <c r="C18" s="62" t="s">
        <v>28</v>
      </c>
      <c r="D18" s="62">
        <v>60</v>
      </c>
      <c r="E18" s="62" t="s">
        <v>31</v>
      </c>
      <c r="F18" s="67">
        <v>1</v>
      </c>
      <c r="G18" s="62" t="s">
        <v>104</v>
      </c>
      <c r="H18" s="62"/>
      <c r="I18" s="62"/>
      <c r="J18" s="62">
        <v>1</v>
      </c>
      <c r="K18" s="74"/>
      <c r="L18" s="62">
        <v>80</v>
      </c>
      <c r="M18" s="68">
        <f t="shared" si="4"/>
        <v>0.75</v>
      </c>
      <c r="N18" s="68">
        <f t="shared" si="3"/>
        <v>0.75</v>
      </c>
      <c r="O18" s="68"/>
      <c r="P18" s="62" t="s">
        <v>31</v>
      </c>
      <c r="Q18" s="62"/>
      <c r="R18" s="68">
        <v>963.55820454545483</v>
      </c>
      <c r="S18" s="62"/>
      <c r="T18" s="68">
        <f t="shared" si="0"/>
        <v>722.66865340909112</v>
      </c>
      <c r="U18" s="68"/>
      <c r="V18" s="68">
        <f>T18*0.15</f>
        <v>108.40029801136366</v>
      </c>
      <c r="W18" s="68"/>
      <c r="X18" s="68">
        <v>1.8</v>
      </c>
      <c r="Y18" s="68">
        <f t="shared" si="1"/>
        <v>108</v>
      </c>
      <c r="Z18" s="68"/>
      <c r="AA18" s="68"/>
      <c r="AB18" s="68"/>
      <c r="AC18" s="68"/>
      <c r="AE18" s="71"/>
      <c r="AF18" s="72"/>
      <c r="AG18" s="73"/>
      <c r="AH18" s="73"/>
      <c r="AI18" s="73"/>
      <c r="AK18" s="73"/>
      <c r="AL18" s="73"/>
      <c r="AM18" s="73"/>
      <c r="AN18" s="75"/>
      <c r="AO18" s="73"/>
      <c r="AP18" s="73"/>
      <c r="AQ18" s="76"/>
      <c r="AR18" s="73"/>
      <c r="AS18" s="73"/>
      <c r="AT18" s="73"/>
    </row>
    <row r="19" spans="1:46" x14ac:dyDescent="0.25">
      <c r="A19" s="5">
        <v>8</v>
      </c>
      <c r="B19" s="6" t="s">
        <v>106</v>
      </c>
      <c r="C19" s="5" t="s">
        <v>26</v>
      </c>
      <c r="D19" s="5">
        <f>$C$5</f>
        <v>100</v>
      </c>
      <c r="E19" s="5" t="s">
        <v>31</v>
      </c>
      <c r="F19" s="16">
        <f t="shared" si="2"/>
        <v>4.2553191489361701</v>
      </c>
      <c r="G19" s="5" t="s">
        <v>72</v>
      </c>
      <c r="H19" s="5" t="s">
        <v>78</v>
      </c>
      <c r="I19" s="5">
        <v>1</v>
      </c>
      <c r="J19" s="5">
        <v>1</v>
      </c>
      <c r="K19" s="17">
        <v>2</v>
      </c>
      <c r="L19" s="5">
        <v>23.5</v>
      </c>
      <c r="M19" s="7">
        <f t="shared" si="4"/>
        <v>4.2553191489361701</v>
      </c>
      <c r="N19" s="7">
        <f t="shared" si="3"/>
        <v>4.2553191489361701</v>
      </c>
      <c r="O19" s="7">
        <f>M19*K19</f>
        <v>8.5106382978723403</v>
      </c>
      <c r="P19" s="5" t="s">
        <v>42</v>
      </c>
      <c r="Q19" s="40" t="s">
        <v>100</v>
      </c>
      <c r="R19" s="7">
        <v>868.07045454545471</v>
      </c>
      <c r="S19" s="43">
        <f>'Тарифная ставка по разряду'!B2</f>
        <v>704.5454545454545</v>
      </c>
      <c r="T19" s="7">
        <f t="shared" si="0"/>
        <v>3693.9168278529987</v>
      </c>
      <c r="U19" s="7">
        <f>S19*O19</f>
        <v>5996.1315280464214</v>
      </c>
      <c r="V19" s="7">
        <f>T19*0.2</f>
        <v>738.78336557059981</v>
      </c>
      <c r="W19" s="7">
        <f>U19*0.25</f>
        <v>1499.0328820116054</v>
      </c>
      <c r="X19" s="44">
        <v>3.7</v>
      </c>
      <c r="Y19" s="44">
        <f t="shared" si="1"/>
        <v>370</v>
      </c>
      <c r="Z19" s="7"/>
      <c r="AA19" s="7"/>
      <c r="AB19" s="7">
        <f>AB14</f>
        <v>5.0999999999999996</v>
      </c>
      <c r="AC19" s="7">
        <f>AB19*N19</f>
        <v>21.702127659574465</v>
      </c>
      <c r="AE19" s="1"/>
      <c r="AF19" s="23"/>
      <c r="AG19" s="8"/>
      <c r="AH19" s="8"/>
      <c r="AI19" s="8"/>
      <c r="AJ19" s="30"/>
      <c r="AK19" s="8"/>
      <c r="AL19" s="8"/>
      <c r="AM19" s="8"/>
      <c r="AN19" s="29"/>
      <c r="AO19" s="8"/>
      <c r="AP19" s="8"/>
      <c r="AQ19" s="29"/>
      <c r="AR19" s="8"/>
      <c r="AS19" s="8"/>
      <c r="AT19" s="8"/>
    </row>
    <row r="20" spans="1:46" ht="16.5" customHeight="1" x14ac:dyDescent="0.25">
      <c r="A20" s="5">
        <v>9</v>
      </c>
      <c r="B20" s="18" t="s">
        <v>54</v>
      </c>
      <c r="C20" s="5" t="s">
        <v>26</v>
      </c>
      <c r="D20" s="5">
        <f>$C$5</f>
        <v>100</v>
      </c>
      <c r="E20" s="5" t="s">
        <v>32</v>
      </c>
      <c r="F20" s="16">
        <f t="shared" si="2"/>
        <v>3.5714285714285716</v>
      </c>
      <c r="G20" s="5" t="s">
        <v>79</v>
      </c>
      <c r="H20" s="5" t="s">
        <v>92</v>
      </c>
      <c r="I20" s="5">
        <v>1</v>
      </c>
      <c r="J20" s="5">
        <v>1</v>
      </c>
      <c r="K20" s="17" t="s">
        <v>29</v>
      </c>
      <c r="L20" s="5">
        <v>28</v>
      </c>
      <c r="M20" s="7">
        <f t="shared" si="4"/>
        <v>3.5714285714285716</v>
      </c>
      <c r="N20" s="7">
        <f t="shared" si="3"/>
        <v>3.5714285714285716</v>
      </c>
      <c r="O20" s="7" t="s">
        <v>29</v>
      </c>
      <c r="P20" s="5" t="s">
        <v>32</v>
      </c>
      <c r="Q20" s="5" t="s">
        <v>29</v>
      </c>
      <c r="R20" s="7">
        <v>1069.5496070454549</v>
      </c>
      <c r="S20" s="5" t="s">
        <v>29</v>
      </c>
      <c r="T20" s="7">
        <f t="shared" si="0"/>
        <v>3819.8200251623389</v>
      </c>
      <c r="U20" s="7" t="s">
        <v>29</v>
      </c>
      <c r="V20" s="7">
        <f>T20*0.25</f>
        <v>954.95500629058472</v>
      </c>
      <c r="W20" s="7" t="s">
        <v>29</v>
      </c>
      <c r="X20" s="44">
        <v>3.9</v>
      </c>
      <c r="Y20" s="44">
        <f t="shared" si="1"/>
        <v>390</v>
      </c>
      <c r="Z20" s="7"/>
      <c r="AA20" s="7"/>
      <c r="AB20" s="7">
        <v>9.1999999999999993</v>
      </c>
      <c r="AC20" s="7">
        <f>AB20*N20</f>
        <v>32.857142857142854</v>
      </c>
      <c r="AE20" s="1"/>
      <c r="AF20" s="23"/>
      <c r="AG20" s="8"/>
      <c r="AH20" s="8"/>
      <c r="AI20" s="8"/>
      <c r="AK20" s="8"/>
      <c r="AL20" s="8"/>
      <c r="AM20" s="8"/>
      <c r="AN20" s="25"/>
      <c r="AO20" s="8"/>
      <c r="AP20" s="8"/>
      <c r="AQ20" s="29"/>
      <c r="AR20" s="8"/>
      <c r="AS20" s="8"/>
      <c r="AT20" s="8"/>
    </row>
    <row r="21" spans="1:46" x14ac:dyDescent="0.25">
      <c r="A21" s="5">
        <v>10</v>
      </c>
      <c r="B21" s="6" t="s">
        <v>93</v>
      </c>
      <c r="C21" s="5" t="s">
        <v>28</v>
      </c>
      <c r="D21" s="5">
        <v>18</v>
      </c>
      <c r="E21" s="5" t="s">
        <v>32</v>
      </c>
      <c r="F21" s="16">
        <f t="shared" si="2"/>
        <v>0.12857142857142856</v>
      </c>
      <c r="G21" s="5" t="s">
        <v>41</v>
      </c>
      <c r="H21" s="5" t="s">
        <v>90</v>
      </c>
      <c r="I21" s="5">
        <v>1</v>
      </c>
      <c r="J21" s="5">
        <v>1</v>
      </c>
      <c r="K21" s="17" t="s">
        <v>29</v>
      </c>
      <c r="L21" s="5">
        <v>140</v>
      </c>
      <c r="M21" s="7">
        <f t="shared" si="4"/>
        <v>0.12857142857142856</v>
      </c>
      <c r="N21" s="7">
        <f t="shared" si="3"/>
        <v>0.12857142857142856</v>
      </c>
      <c r="O21" s="7" t="s">
        <v>29</v>
      </c>
      <c r="P21" s="5" t="s">
        <v>31</v>
      </c>
      <c r="Q21" s="5" t="s">
        <v>29</v>
      </c>
      <c r="R21" s="7">
        <v>963.55820454545483</v>
      </c>
      <c r="S21" s="5" t="s">
        <v>29</v>
      </c>
      <c r="T21" s="7">
        <f t="shared" si="0"/>
        <v>123.8860548701299</v>
      </c>
      <c r="U21" s="7" t="s">
        <v>29</v>
      </c>
      <c r="V21" s="7">
        <f>T21*0.15</f>
        <v>18.582908230519482</v>
      </c>
      <c r="W21" s="7" t="s">
        <v>29</v>
      </c>
      <c r="X21" s="44"/>
      <c r="Y21" s="44">
        <f t="shared" si="1"/>
        <v>0</v>
      </c>
      <c r="Z21" s="7"/>
      <c r="AA21" s="7">
        <v>9.27</v>
      </c>
      <c r="AB21" s="7"/>
      <c r="AC21" s="7"/>
      <c r="AD21">
        <f>10.3*M21*7</f>
        <v>9.27</v>
      </c>
      <c r="AE21" s="1"/>
      <c r="AF21" s="23"/>
      <c r="AG21" s="8"/>
      <c r="AH21" s="8"/>
      <c r="AI21" s="8"/>
      <c r="AK21" s="8"/>
      <c r="AL21" s="8"/>
      <c r="AM21" s="8"/>
      <c r="AO21" s="8"/>
      <c r="AP21" s="8"/>
      <c r="AQ21" s="23"/>
      <c r="AR21" s="8"/>
      <c r="AS21" s="8"/>
      <c r="AT21" s="8"/>
    </row>
    <row r="22" spans="1:46" s="63" customFormat="1" x14ac:dyDescent="0.25">
      <c r="A22" s="62">
        <v>10</v>
      </c>
      <c r="B22" s="66" t="s">
        <v>55</v>
      </c>
      <c r="C22" s="62" t="s">
        <v>28</v>
      </c>
      <c r="D22" s="62">
        <v>18</v>
      </c>
      <c r="E22" s="62" t="s">
        <v>32</v>
      </c>
      <c r="F22" s="67">
        <f t="shared" si="2"/>
        <v>0.22500000000000001</v>
      </c>
      <c r="G22" s="62" t="s">
        <v>104</v>
      </c>
      <c r="H22" s="62" t="s">
        <v>29</v>
      </c>
      <c r="I22" s="62" t="s">
        <v>29</v>
      </c>
      <c r="J22" s="62">
        <v>1</v>
      </c>
      <c r="K22" s="62">
        <v>1</v>
      </c>
      <c r="L22" s="62">
        <v>80</v>
      </c>
      <c r="M22" s="68">
        <f t="shared" si="4"/>
        <v>0.22500000000000001</v>
      </c>
      <c r="N22" s="68">
        <f t="shared" si="3"/>
        <v>0.22500000000000001</v>
      </c>
      <c r="O22" s="68">
        <f>M22*K22</f>
        <v>0.22500000000000001</v>
      </c>
      <c r="P22" s="62" t="s">
        <v>31</v>
      </c>
      <c r="Q22" s="62" t="s">
        <v>100</v>
      </c>
      <c r="R22" s="62"/>
      <c r="S22" s="69">
        <f>'Тарифная ставка по разряду'!B2</f>
        <v>704.5454545454545</v>
      </c>
      <c r="T22" s="68">
        <f t="shared" si="0"/>
        <v>0</v>
      </c>
      <c r="U22" s="68">
        <f>S22*O22</f>
        <v>158.52272727272728</v>
      </c>
      <c r="V22" s="68">
        <f t="shared" ref="V22:V23" si="5">T22*0.15</f>
        <v>0</v>
      </c>
      <c r="W22" s="68">
        <f>U22*0.15</f>
        <v>23.77840909090909</v>
      </c>
      <c r="X22" s="68">
        <v>1.8</v>
      </c>
      <c r="Y22" s="68">
        <f t="shared" si="1"/>
        <v>32.4</v>
      </c>
      <c r="Z22" s="68"/>
      <c r="AA22" s="68"/>
      <c r="AB22" s="68"/>
      <c r="AC22" s="68"/>
      <c r="AE22" s="71"/>
      <c r="AF22" s="72"/>
      <c r="AG22" s="73"/>
      <c r="AH22" s="73"/>
      <c r="AI22" s="73"/>
      <c r="AK22" s="73"/>
      <c r="AL22" s="73"/>
      <c r="AM22" s="73"/>
      <c r="AO22" s="73"/>
      <c r="AP22" s="73"/>
      <c r="AQ22" s="72"/>
      <c r="AR22" s="73"/>
      <c r="AS22" s="73"/>
      <c r="AT22" s="73"/>
    </row>
    <row r="23" spans="1:46" x14ac:dyDescent="0.25">
      <c r="A23" s="5">
        <v>11</v>
      </c>
      <c r="B23" s="6" t="s">
        <v>56</v>
      </c>
      <c r="C23" s="5" t="s">
        <v>28</v>
      </c>
      <c r="D23" s="5">
        <v>18</v>
      </c>
      <c r="E23" s="5" t="s">
        <v>32</v>
      </c>
      <c r="F23" s="16">
        <f t="shared" si="2"/>
        <v>0.3</v>
      </c>
      <c r="G23" s="5" t="s">
        <v>80</v>
      </c>
      <c r="H23" s="5" t="s">
        <v>29</v>
      </c>
      <c r="I23" s="5" t="s">
        <v>29</v>
      </c>
      <c r="J23" s="40">
        <v>1</v>
      </c>
      <c r="K23" s="40">
        <v>1</v>
      </c>
      <c r="L23" s="40">
        <v>60</v>
      </c>
      <c r="M23" s="7">
        <f t="shared" si="4"/>
        <v>0.3</v>
      </c>
      <c r="N23" s="7">
        <f t="shared" si="3"/>
        <v>0.3</v>
      </c>
      <c r="O23" s="7">
        <f>M23*K23</f>
        <v>0.3</v>
      </c>
      <c r="P23" s="5" t="s">
        <v>31</v>
      </c>
      <c r="Q23" s="40" t="s">
        <v>100</v>
      </c>
      <c r="R23" s="7">
        <f>'Тарифная ставка по разряду'!B5</f>
        <v>963.55820454545483</v>
      </c>
      <c r="S23" s="43">
        <f>'Тарифная ставка по разряду'!B2</f>
        <v>704.5454545454545</v>
      </c>
      <c r="T23" s="7">
        <f t="shared" si="0"/>
        <v>289.06746136363643</v>
      </c>
      <c r="U23" s="7">
        <f>S23*O23</f>
        <v>211.36363636363635</v>
      </c>
      <c r="V23" s="7">
        <f t="shared" si="5"/>
        <v>43.360119204545462</v>
      </c>
      <c r="W23" s="7">
        <f>U23*0.15</f>
        <v>31.70454545454545</v>
      </c>
      <c r="X23" s="44">
        <v>0.18</v>
      </c>
      <c r="Y23" s="44">
        <f t="shared" si="1"/>
        <v>3.2399999999999998</v>
      </c>
      <c r="Z23" s="7"/>
      <c r="AA23" s="7"/>
      <c r="AB23" s="7"/>
      <c r="AC23" s="7"/>
      <c r="AE23" s="1"/>
      <c r="AF23" s="23"/>
      <c r="AG23" s="8"/>
      <c r="AH23" s="8"/>
      <c r="AI23" s="8"/>
      <c r="AK23" s="8"/>
      <c r="AL23" s="8"/>
      <c r="AM23" s="8"/>
      <c r="AO23" s="8"/>
      <c r="AP23" s="8"/>
      <c r="AQ23" s="1"/>
      <c r="AR23" s="8"/>
      <c r="AS23" s="8"/>
      <c r="AT23" s="8"/>
    </row>
    <row r="24" spans="1:46" x14ac:dyDescent="0.25">
      <c r="A24" s="5">
        <v>12</v>
      </c>
      <c r="B24" s="6" t="s">
        <v>57</v>
      </c>
      <c r="C24" s="5" t="s">
        <v>26</v>
      </c>
      <c r="D24" s="5">
        <f>$C$5</f>
        <v>100</v>
      </c>
      <c r="E24" s="5" t="s">
        <v>32</v>
      </c>
      <c r="F24" s="16">
        <f t="shared" si="2"/>
        <v>9.5238095238095237</v>
      </c>
      <c r="G24" s="5" t="s">
        <v>72</v>
      </c>
      <c r="H24" s="5" t="s">
        <v>81</v>
      </c>
      <c r="I24" s="5">
        <v>1</v>
      </c>
      <c r="J24" s="5">
        <v>1</v>
      </c>
      <c r="K24" s="5">
        <v>3</v>
      </c>
      <c r="L24" s="5">
        <v>10.5</v>
      </c>
      <c r="M24" s="7">
        <f t="shared" si="4"/>
        <v>9.5238095238095237</v>
      </c>
      <c r="N24" s="7">
        <f t="shared" si="3"/>
        <v>9.5238095238095237</v>
      </c>
      <c r="O24" s="7">
        <f>M24*K24</f>
        <v>28.571428571428569</v>
      </c>
      <c r="P24" s="5" t="s">
        <v>32</v>
      </c>
      <c r="Q24" s="40" t="s">
        <v>101</v>
      </c>
      <c r="R24" s="7">
        <v>1069.5496070454549</v>
      </c>
      <c r="S24" s="43">
        <f>'Тарифная ставка по разряду'!B3</f>
        <v>782.04545454545462</v>
      </c>
      <c r="T24" s="7">
        <f t="shared" si="0"/>
        <v>10186.186733766237</v>
      </c>
      <c r="U24" s="7">
        <f>S24*O24</f>
        <v>22344.155844155845</v>
      </c>
      <c r="V24" s="7">
        <f>T24*0.3</f>
        <v>3055.856020129871</v>
      </c>
      <c r="W24" s="7">
        <f>U24*0.3</f>
        <v>6703.2467532467535</v>
      </c>
      <c r="X24" s="44">
        <v>8.1999999999999993</v>
      </c>
      <c r="Y24" s="44">
        <f t="shared" si="1"/>
        <v>819.99999999999989</v>
      </c>
      <c r="Z24" s="7"/>
      <c r="AA24" s="7"/>
      <c r="AB24" s="7">
        <f>AB14</f>
        <v>5.0999999999999996</v>
      </c>
      <c r="AC24" s="7">
        <f>AB24*N24</f>
        <v>48.571428571428569</v>
      </c>
      <c r="AE24" s="122"/>
      <c r="AF24" s="122"/>
      <c r="AG24" s="8"/>
      <c r="AH24" s="8"/>
      <c r="AI24" s="8"/>
      <c r="AJ24" s="8"/>
      <c r="AK24" s="122"/>
      <c r="AL24" s="122"/>
      <c r="AM24" s="122"/>
      <c r="AN24" s="8"/>
      <c r="AO24" s="8"/>
      <c r="AP24" s="8"/>
      <c r="AQ24" s="8"/>
      <c r="AR24" s="8"/>
      <c r="AS24" s="122"/>
      <c r="AT24" s="122"/>
    </row>
    <row r="25" spans="1:46" x14ac:dyDescent="0.25">
      <c r="A25" s="5">
        <v>13</v>
      </c>
      <c r="B25" s="6" t="s">
        <v>58</v>
      </c>
      <c r="C25" s="5" t="s">
        <v>26</v>
      </c>
      <c r="D25" s="5">
        <f>$C$5</f>
        <v>100</v>
      </c>
      <c r="E25" s="5" t="s">
        <v>33</v>
      </c>
      <c r="F25" s="16">
        <f t="shared" si="2"/>
        <v>6.8493150684931505</v>
      </c>
      <c r="G25" s="5" t="s">
        <v>27</v>
      </c>
      <c r="H25" s="5" t="s">
        <v>82</v>
      </c>
      <c r="I25" s="5">
        <v>1</v>
      </c>
      <c r="J25" s="5">
        <v>1</v>
      </c>
      <c r="K25" s="5" t="s">
        <v>29</v>
      </c>
      <c r="L25" s="5">
        <v>14.6</v>
      </c>
      <c r="M25" s="7">
        <f t="shared" si="4"/>
        <v>6.8493150684931505</v>
      </c>
      <c r="N25" s="7">
        <f t="shared" si="3"/>
        <v>6.8493150684931505</v>
      </c>
      <c r="O25" s="7" t="s">
        <v>29</v>
      </c>
      <c r="P25" s="5" t="s">
        <v>31</v>
      </c>
      <c r="Q25" s="5" t="s">
        <v>29</v>
      </c>
      <c r="R25" s="7">
        <v>963.55820454545483</v>
      </c>
      <c r="S25" s="43" t="s">
        <v>29</v>
      </c>
      <c r="T25" s="7">
        <f t="shared" si="0"/>
        <v>6599.713729763389</v>
      </c>
      <c r="U25" s="7" t="s">
        <v>29</v>
      </c>
      <c r="V25" s="7">
        <f t="shared" ref="V25:V30" si="6">T25*0.2</f>
        <v>1319.9427459526778</v>
      </c>
      <c r="W25" s="7" t="s">
        <v>29</v>
      </c>
      <c r="X25" s="44">
        <v>4.3</v>
      </c>
      <c r="Y25" s="44">
        <f t="shared" si="1"/>
        <v>430</v>
      </c>
      <c r="Z25" s="7"/>
      <c r="AA25" s="7"/>
      <c r="AB25" s="7">
        <f>AB17</f>
        <v>4.9000000000000004</v>
      </c>
      <c r="AC25" s="7">
        <f>AB25*N25</f>
        <v>33.561643835616437</v>
      </c>
    </row>
    <row r="26" spans="1:46" ht="15.75" customHeight="1" x14ac:dyDescent="0.25">
      <c r="A26" s="5">
        <v>14</v>
      </c>
      <c r="B26" s="6" t="s">
        <v>37</v>
      </c>
      <c r="C26" s="5" t="s">
        <v>28</v>
      </c>
      <c r="D26" s="5">
        <v>40</v>
      </c>
      <c r="E26" s="5" t="s">
        <v>33</v>
      </c>
      <c r="F26" s="16">
        <f t="shared" si="2"/>
        <v>1</v>
      </c>
      <c r="G26" s="5" t="s">
        <v>29</v>
      </c>
      <c r="H26" s="5" t="s">
        <v>83</v>
      </c>
      <c r="I26" s="5">
        <v>1</v>
      </c>
      <c r="J26" s="5">
        <v>1</v>
      </c>
      <c r="K26" s="5" t="s">
        <v>29</v>
      </c>
      <c r="L26" s="5">
        <v>40</v>
      </c>
      <c r="M26" s="7">
        <f t="shared" si="4"/>
        <v>1</v>
      </c>
      <c r="N26" s="7">
        <f t="shared" si="3"/>
        <v>1</v>
      </c>
      <c r="O26" s="7" t="s">
        <v>29</v>
      </c>
      <c r="P26" s="5" t="s">
        <v>31</v>
      </c>
      <c r="Q26" s="5" t="s">
        <v>29</v>
      </c>
      <c r="R26" s="7">
        <v>963.55820454545483</v>
      </c>
      <c r="S26" s="43" t="s">
        <v>29</v>
      </c>
      <c r="T26" s="7">
        <f t="shared" si="0"/>
        <v>963.55820454545483</v>
      </c>
      <c r="U26" s="7" t="s">
        <v>29</v>
      </c>
      <c r="V26" s="7">
        <f t="shared" si="6"/>
        <v>192.71164090909099</v>
      </c>
      <c r="W26" s="7" t="s">
        <v>29</v>
      </c>
      <c r="X26" s="44">
        <v>2.6</v>
      </c>
      <c r="Y26" s="44">
        <f t="shared" si="1"/>
        <v>104</v>
      </c>
      <c r="Z26" s="7"/>
      <c r="AA26" s="7"/>
      <c r="AB26" s="7"/>
      <c r="AC26" s="7"/>
    </row>
    <row r="27" spans="1:46" s="63" customFormat="1" ht="15.75" customHeight="1" x14ac:dyDescent="0.25">
      <c r="A27" s="62">
        <v>15</v>
      </c>
      <c r="B27" s="66" t="s">
        <v>38</v>
      </c>
      <c r="C27" s="62" t="s">
        <v>28</v>
      </c>
      <c r="D27" s="62">
        <v>0.8</v>
      </c>
      <c r="E27" s="62" t="s">
        <v>33</v>
      </c>
      <c r="F27" s="67">
        <f>M27</f>
        <v>0.04</v>
      </c>
      <c r="G27" s="62" t="s">
        <v>88</v>
      </c>
      <c r="H27" s="62" t="s">
        <v>29</v>
      </c>
      <c r="I27" s="62" t="s">
        <v>29</v>
      </c>
      <c r="J27" s="62">
        <v>1</v>
      </c>
      <c r="K27" s="62" t="s">
        <v>29</v>
      </c>
      <c r="L27" s="62">
        <v>20</v>
      </c>
      <c r="M27" s="68">
        <f t="shared" si="4"/>
        <v>0.04</v>
      </c>
      <c r="N27" s="68">
        <f t="shared" si="3"/>
        <v>0.04</v>
      </c>
      <c r="O27" s="68" t="s">
        <v>29</v>
      </c>
      <c r="P27" s="62" t="s">
        <v>29</v>
      </c>
      <c r="Q27" s="62" t="s">
        <v>29</v>
      </c>
      <c r="R27" s="62"/>
      <c r="S27" s="69" t="s">
        <v>29</v>
      </c>
      <c r="T27" s="68" t="s">
        <v>29</v>
      </c>
      <c r="U27" s="68" t="s">
        <v>29</v>
      </c>
      <c r="V27" s="68" t="s">
        <v>29</v>
      </c>
      <c r="W27" s="68" t="s">
        <v>29</v>
      </c>
      <c r="X27" s="68">
        <v>3.2</v>
      </c>
      <c r="Y27" s="68">
        <f t="shared" si="1"/>
        <v>2.5600000000000005</v>
      </c>
      <c r="Z27" s="68"/>
      <c r="AA27" s="68"/>
      <c r="AB27" s="68"/>
      <c r="AC27" s="68"/>
    </row>
    <row r="28" spans="1:46" x14ac:dyDescent="0.25">
      <c r="A28" s="5">
        <v>16</v>
      </c>
      <c r="B28" s="6" t="s">
        <v>39</v>
      </c>
      <c r="C28" s="5" t="s">
        <v>28</v>
      </c>
      <c r="D28" s="5">
        <v>40</v>
      </c>
      <c r="E28" s="5" t="s">
        <v>33</v>
      </c>
      <c r="F28" s="16">
        <f t="shared" si="2"/>
        <v>5</v>
      </c>
      <c r="G28" s="5" t="s">
        <v>27</v>
      </c>
      <c r="H28" s="5" t="s">
        <v>84</v>
      </c>
      <c r="I28" s="5">
        <v>1</v>
      </c>
      <c r="J28" s="5">
        <v>1</v>
      </c>
      <c r="K28" s="5">
        <v>1</v>
      </c>
      <c r="L28" s="5">
        <v>8</v>
      </c>
      <c r="M28" s="7">
        <f t="shared" si="4"/>
        <v>5</v>
      </c>
      <c r="N28" s="7">
        <f t="shared" si="3"/>
        <v>5</v>
      </c>
      <c r="O28" s="7">
        <f>M28*K28</f>
        <v>5</v>
      </c>
      <c r="P28" s="5" t="s">
        <v>32</v>
      </c>
      <c r="Q28" s="5" t="s">
        <v>32</v>
      </c>
      <c r="R28" s="7">
        <v>1069.5496070454549</v>
      </c>
      <c r="S28" s="43">
        <v>1069.5496070454549</v>
      </c>
      <c r="T28" s="7">
        <f t="shared" ref="T28:T34" si="7">R28*N28</f>
        <v>5347.7480352272742</v>
      </c>
      <c r="U28" s="7">
        <f t="shared" ref="U28:U34" si="8">S28*O28</f>
        <v>5347.7480352272742</v>
      </c>
      <c r="V28" s="7">
        <f>T28*0.15</f>
        <v>802.1622052840911</v>
      </c>
      <c r="W28" s="7">
        <f>U28*0.15</f>
        <v>802.1622052840911</v>
      </c>
      <c r="X28" s="44">
        <v>0.12</v>
      </c>
      <c r="Y28" s="44">
        <f t="shared" si="1"/>
        <v>4.8</v>
      </c>
      <c r="Z28" s="7"/>
      <c r="AA28" s="7"/>
      <c r="AB28" s="7">
        <f>AB25</f>
        <v>4.9000000000000004</v>
      </c>
      <c r="AC28" s="7">
        <f>AB28*N28</f>
        <v>24.5</v>
      </c>
    </row>
    <row r="29" spans="1:46" ht="18.75" x14ac:dyDescent="0.3">
      <c r="A29" s="5">
        <v>17</v>
      </c>
      <c r="B29" s="6" t="s">
        <v>59</v>
      </c>
      <c r="C29" s="5" t="s">
        <v>26</v>
      </c>
      <c r="D29" s="5">
        <f>$C$5</f>
        <v>100</v>
      </c>
      <c r="E29" s="5" t="s">
        <v>33</v>
      </c>
      <c r="F29" s="16">
        <f t="shared" si="2"/>
        <v>2.1276595744680851</v>
      </c>
      <c r="G29" s="5" t="s">
        <v>72</v>
      </c>
      <c r="H29" s="5" t="s">
        <v>86</v>
      </c>
      <c r="I29" s="5">
        <v>1</v>
      </c>
      <c r="J29" s="5">
        <v>1</v>
      </c>
      <c r="K29" s="5" t="s">
        <v>29</v>
      </c>
      <c r="L29" s="5">
        <v>47</v>
      </c>
      <c r="M29" s="7">
        <f t="shared" si="4"/>
        <v>2.1276595744680851</v>
      </c>
      <c r="N29" s="7">
        <f t="shared" si="3"/>
        <v>2.1276595744680851</v>
      </c>
      <c r="O29" s="7" t="s">
        <v>29</v>
      </c>
      <c r="P29" s="5" t="s">
        <v>33</v>
      </c>
      <c r="Q29" s="5" t="s">
        <v>29</v>
      </c>
      <c r="R29" s="7">
        <v>1187.2000638204549</v>
      </c>
      <c r="S29" s="43" t="s">
        <v>29</v>
      </c>
      <c r="T29" s="7">
        <f t="shared" si="7"/>
        <v>2525.9575825967127</v>
      </c>
      <c r="U29" s="7" t="s">
        <v>29</v>
      </c>
      <c r="V29" s="7">
        <f t="shared" si="6"/>
        <v>505.19151651934254</v>
      </c>
      <c r="W29" s="7" t="s">
        <v>29</v>
      </c>
      <c r="X29" s="44">
        <v>3.4</v>
      </c>
      <c r="Y29" s="44">
        <f t="shared" si="1"/>
        <v>340</v>
      </c>
      <c r="Z29" s="7"/>
      <c r="AA29" s="7"/>
      <c r="AB29" s="7">
        <f>AB24</f>
        <v>5.0999999999999996</v>
      </c>
      <c r="AC29" s="7">
        <f>AB29*N29</f>
        <v>10.851063829787233</v>
      </c>
      <c r="AF29" s="132"/>
      <c r="AG29" s="133"/>
      <c r="AH29" s="133"/>
      <c r="AI29" s="134"/>
      <c r="AJ29" s="134"/>
      <c r="AK29" s="132"/>
      <c r="AL29" s="132"/>
      <c r="AM29" s="132"/>
      <c r="AN29" s="132"/>
      <c r="AO29" s="132"/>
      <c r="AP29" s="132"/>
      <c r="AQ29" s="132"/>
      <c r="AR29" s="132"/>
      <c r="AS29" s="132"/>
    </row>
    <row r="30" spans="1:46" x14ac:dyDescent="0.25">
      <c r="A30" s="5">
        <v>18</v>
      </c>
      <c r="B30" s="6" t="s">
        <v>60</v>
      </c>
      <c r="C30" s="5" t="s">
        <v>26</v>
      </c>
      <c r="D30" s="5">
        <f>$C$5</f>
        <v>100</v>
      </c>
      <c r="E30" s="5" t="s">
        <v>30</v>
      </c>
      <c r="F30" s="16">
        <f t="shared" si="2"/>
        <v>20.408163265306122</v>
      </c>
      <c r="G30" s="5" t="s">
        <v>72</v>
      </c>
      <c r="H30" s="5" t="s">
        <v>85</v>
      </c>
      <c r="I30" s="5">
        <v>1</v>
      </c>
      <c r="J30" s="5">
        <v>1</v>
      </c>
      <c r="K30" s="5" t="s">
        <v>29</v>
      </c>
      <c r="L30" s="5">
        <v>4.9000000000000004</v>
      </c>
      <c r="M30" s="7">
        <f t="shared" si="4"/>
        <v>20.408163265306122</v>
      </c>
      <c r="N30" s="7">
        <f t="shared" si="3"/>
        <v>20.408163265306122</v>
      </c>
      <c r="O30" s="7" t="s">
        <v>29</v>
      </c>
      <c r="P30" s="5" t="s">
        <v>42</v>
      </c>
      <c r="Q30" s="5" t="s">
        <v>29</v>
      </c>
      <c r="R30" s="7">
        <f>'Тарифная ставка по разряду'!B4</f>
        <v>868.07045454545471</v>
      </c>
      <c r="S30" s="43" t="s">
        <v>29</v>
      </c>
      <c r="T30" s="7">
        <f t="shared" si="7"/>
        <v>17715.723562152136</v>
      </c>
      <c r="U30" s="7" t="s">
        <v>29</v>
      </c>
      <c r="V30" s="7">
        <f t="shared" si="6"/>
        <v>3543.1447124304273</v>
      </c>
      <c r="W30" s="7" t="s">
        <v>29</v>
      </c>
      <c r="X30" s="44">
        <v>4.5999999999999996</v>
      </c>
      <c r="Y30" s="44">
        <f t="shared" si="1"/>
        <v>459.99999999999994</v>
      </c>
      <c r="Z30" s="7"/>
      <c r="AA30" s="7"/>
      <c r="AB30" s="7">
        <f>AB29</f>
        <v>5.0999999999999996</v>
      </c>
      <c r="AC30" s="7">
        <f>AB30*N30</f>
        <v>104.08163265306122</v>
      </c>
      <c r="AF30" s="132"/>
      <c r="AG30" s="133"/>
      <c r="AH30" s="133"/>
      <c r="AI30" s="131"/>
      <c r="AJ30" s="131"/>
      <c r="AK30" s="136"/>
      <c r="AL30" s="136"/>
      <c r="AM30" s="133"/>
      <c r="AN30" s="131"/>
      <c r="AO30" s="136"/>
      <c r="AP30" s="136"/>
      <c r="AQ30" s="131"/>
      <c r="AR30" s="136"/>
      <c r="AS30" s="136"/>
    </row>
    <row r="31" spans="1:46" x14ac:dyDescent="0.25">
      <c r="A31" s="5">
        <v>19</v>
      </c>
      <c r="B31" s="6" t="s">
        <v>61</v>
      </c>
      <c r="C31" s="5" t="s">
        <v>26</v>
      </c>
      <c r="D31" s="5">
        <f>$C$5</f>
        <v>100</v>
      </c>
      <c r="E31" s="5" t="s">
        <v>30</v>
      </c>
      <c r="F31" s="16">
        <f t="shared" si="2"/>
        <v>22.222222222222221</v>
      </c>
      <c r="G31" s="5" t="s">
        <v>72</v>
      </c>
      <c r="H31" s="5" t="s">
        <v>87</v>
      </c>
      <c r="I31" s="5">
        <v>1</v>
      </c>
      <c r="J31" s="5">
        <v>1</v>
      </c>
      <c r="K31" s="5">
        <v>1</v>
      </c>
      <c r="L31" s="5">
        <v>4.5</v>
      </c>
      <c r="M31" s="7">
        <f t="shared" si="4"/>
        <v>22.222222222222221</v>
      </c>
      <c r="N31" s="7">
        <f t="shared" si="3"/>
        <v>22.222222222222221</v>
      </c>
      <c r="O31" s="7">
        <f>M31*K31</f>
        <v>22.222222222222221</v>
      </c>
      <c r="P31" s="5" t="s">
        <v>33</v>
      </c>
      <c r="Q31" s="5" t="s">
        <v>33</v>
      </c>
      <c r="R31" s="7">
        <v>1187.2000638204549</v>
      </c>
      <c r="S31" s="43">
        <f>'Тарифная ставка по разряду'!B7</f>
        <v>1187.2000638204549</v>
      </c>
      <c r="T31" s="7">
        <f t="shared" si="7"/>
        <v>26382.223640454555</v>
      </c>
      <c r="U31" s="7">
        <f t="shared" si="8"/>
        <v>26382.223640454555</v>
      </c>
      <c r="V31" s="7">
        <f>T31*0.4</f>
        <v>10552.889456181823</v>
      </c>
      <c r="W31" s="7">
        <f>U31*0.4</f>
        <v>10552.889456181823</v>
      </c>
      <c r="X31" s="44">
        <v>9.1999999999999993</v>
      </c>
      <c r="Y31" s="44">
        <f t="shared" si="1"/>
        <v>919.99999999999989</v>
      </c>
      <c r="Z31" s="7"/>
      <c r="AA31" s="7"/>
      <c r="AB31" s="7">
        <f>AB30</f>
        <v>5.0999999999999996</v>
      </c>
      <c r="AC31" s="7">
        <f>AB31*N31</f>
        <v>113.33333333333331</v>
      </c>
      <c r="AF31" s="132"/>
      <c r="AG31" s="133"/>
      <c r="AH31" s="133"/>
      <c r="AI31" s="131"/>
      <c r="AJ31" s="131"/>
      <c r="AK31" s="136"/>
      <c r="AL31" s="136"/>
      <c r="AM31" s="133"/>
      <c r="AN31" s="131"/>
      <c r="AO31" s="136"/>
      <c r="AP31" s="136"/>
      <c r="AQ31" s="131"/>
      <c r="AR31" s="136"/>
      <c r="AS31" s="136"/>
    </row>
    <row r="32" spans="1:46" s="63" customFormat="1" ht="18.75" x14ac:dyDescent="0.3">
      <c r="A32" s="62">
        <v>20</v>
      </c>
      <c r="B32" s="66" t="s">
        <v>55</v>
      </c>
      <c r="C32" s="62" t="s">
        <v>28</v>
      </c>
      <c r="D32" s="62">
        <v>2500</v>
      </c>
      <c r="E32" s="62" t="s">
        <v>30</v>
      </c>
      <c r="F32" s="67">
        <f t="shared" si="2"/>
        <v>31.25</v>
      </c>
      <c r="G32" s="62" t="s">
        <v>104</v>
      </c>
      <c r="H32" s="62" t="s">
        <v>29</v>
      </c>
      <c r="I32" s="62" t="s">
        <v>29</v>
      </c>
      <c r="J32" s="62">
        <v>1</v>
      </c>
      <c r="K32" s="62" t="s">
        <v>29</v>
      </c>
      <c r="L32" s="62">
        <v>80</v>
      </c>
      <c r="M32" s="68">
        <f t="shared" si="4"/>
        <v>31.25</v>
      </c>
      <c r="N32" s="68">
        <f t="shared" si="3"/>
        <v>31.25</v>
      </c>
      <c r="O32" s="68" t="s">
        <v>29</v>
      </c>
      <c r="P32" s="62" t="s">
        <v>33</v>
      </c>
      <c r="Q32" s="62" t="s">
        <v>29</v>
      </c>
      <c r="R32" s="68">
        <v>1187.2000638204549</v>
      </c>
      <c r="S32" s="69" t="s">
        <v>29</v>
      </c>
      <c r="T32" s="68">
        <f t="shared" si="7"/>
        <v>37100.001994389218</v>
      </c>
      <c r="U32" s="68" t="s">
        <v>29</v>
      </c>
      <c r="V32" s="68">
        <f>T32*0.25</f>
        <v>9275.0004985973046</v>
      </c>
      <c r="W32" s="68" t="s">
        <v>29</v>
      </c>
      <c r="X32" s="68">
        <v>1.8</v>
      </c>
      <c r="Y32" s="68">
        <f t="shared" si="1"/>
        <v>4500</v>
      </c>
      <c r="Z32" s="68"/>
      <c r="AA32" s="68"/>
      <c r="AB32" s="68"/>
      <c r="AC32" s="68"/>
      <c r="AF32" s="70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</row>
    <row r="33" spans="1:45" ht="18.75" x14ac:dyDescent="0.25">
      <c r="A33" s="5">
        <v>21</v>
      </c>
      <c r="B33" s="6" t="s">
        <v>62</v>
      </c>
      <c r="C33" s="5" t="s">
        <v>28</v>
      </c>
      <c r="D33" s="5">
        <v>2500</v>
      </c>
      <c r="E33" s="5" t="s">
        <v>30</v>
      </c>
      <c r="F33" s="16">
        <f t="shared" si="2"/>
        <v>16.666666666666668</v>
      </c>
      <c r="G33" s="5" t="s">
        <v>41</v>
      </c>
      <c r="H33" s="5" t="s">
        <v>89</v>
      </c>
      <c r="I33" s="5">
        <v>1</v>
      </c>
      <c r="J33" s="5">
        <v>1</v>
      </c>
      <c r="K33" s="5">
        <v>3</v>
      </c>
      <c r="L33" s="5">
        <v>150</v>
      </c>
      <c r="M33" s="7">
        <f t="shared" si="4"/>
        <v>16.666666666666668</v>
      </c>
      <c r="N33" s="7">
        <f t="shared" si="3"/>
        <v>16.666666666666668</v>
      </c>
      <c r="O33" s="7">
        <f>M33*K33</f>
        <v>50</v>
      </c>
      <c r="P33" s="5" t="s">
        <v>32</v>
      </c>
      <c r="Q33" s="5" t="s">
        <v>42</v>
      </c>
      <c r="R33" s="7">
        <v>1069.5496070454549</v>
      </c>
      <c r="S33" s="43">
        <f>R30</f>
        <v>868.07045454545471</v>
      </c>
      <c r="T33" s="7">
        <f t="shared" si="7"/>
        <v>17825.826784090917</v>
      </c>
      <c r="U33" s="7">
        <f t="shared" si="8"/>
        <v>43403.522727272735</v>
      </c>
      <c r="V33" s="7">
        <f>T33*0.4</f>
        <v>7130.3307136363674</v>
      </c>
      <c r="W33" s="7">
        <f>U33*0.4</f>
        <v>17361.409090909096</v>
      </c>
      <c r="X33" s="44"/>
      <c r="Y33" s="44"/>
      <c r="Z33" s="7"/>
      <c r="AA33" s="7">
        <v>1540</v>
      </c>
      <c r="AB33" s="7"/>
      <c r="AC33" s="7"/>
      <c r="AD33">
        <f>13.2*M33*7</f>
        <v>1540</v>
      </c>
      <c r="AF33" s="9"/>
      <c r="AG33" s="131"/>
      <c r="AH33" s="131"/>
      <c r="AI33" s="9"/>
      <c r="AJ33" s="9"/>
      <c r="AK33" s="131"/>
      <c r="AL33" s="131"/>
      <c r="AM33" s="31"/>
      <c r="AN33" s="31"/>
      <c r="AO33" s="137"/>
      <c r="AP33" s="137"/>
      <c r="AQ33" s="31"/>
      <c r="AR33" s="137"/>
      <c r="AS33" s="137"/>
    </row>
    <row r="34" spans="1:45" ht="18.75" x14ac:dyDescent="0.25">
      <c r="A34" s="5">
        <v>22</v>
      </c>
      <c r="B34" s="6" t="s">
        <v>63</v>
      </c>
      <c r="C34" s="5" t="s">
        <v>28</v>
      </c>
      <c r="D34" s="5">
        <v>400</v>
      </c>
      <c r="E34" s="5" t="s">
        <v>30</v>
      </c>
      <c r="F34" s="16">
        <f t="shared" si="2"/>
        <v>2.8571428571428572</v>
      </c>
      <c r="G34" s="5" t="s">
        <v>41</v>
      </c>
      <c r="H34" s="5" t="s">
        <v>90</v>
      </c>
      <c r="I34" s="5">
        <v>1</v>
      </c>
      <c r="J34" s="5">
        <v>1</v>
      </c>
      <c r="K34" s="5">
        <v>4</v>
      </c>
      <c r="L34" s="5">
        <v>140</v>
      </c>
      <c r="M34" s="7">
        <f t="shared" si="4"/>
        <v>2.8571428571428572</v>
      </c>
      <c r="N34" s="7">
        <f t="shared" si="3"/>
        <v>2.8571428571428572</v>
      </c>
      <c r="O34" s="7">
        <f>M34*K34</f>
        <v>11.428571428571429</v>
      </c>
      <c r="P34" s="5" t="s">
        <v>31</v>
      </c>
      <c r="Q34" s="5" t="s">
        <v>101</v>
      </c>
      <c r="R34" s="7">
        <v>963.55820454545483</v>
      </c>
      <c r="S34" s="43">
        <f>'Тарифная ставка по разряду'!B3</f>
        <v>782.04545454545462</v>
      </c>
      <c r="T34" s="7">
        <f t="shared" si="7"/>
        <v>2753.0234415584423</v>
      </c>
      <c r="U34" s="7">
        <f t="shared" si="8"/>
        <v>8937.6623376623393</v>
      </c>
      <c r="V34" s="7">
        <f>T34*0.4</f>
        <v>1101.209376623377</v>
      </c>
      <c r="W34" s="7">
        <f>U34*0.4</f>
        <v>3575.064935064936</v>
      </c>
      <c r="X34" s="44"/>
      <c r="Y34" s="44"/>
      <c r="Z34" s="7"/>
      <c r="AA34" s="7">
        <f>10.3*M34*7</f>
        <v>206</v>
      </c>
      <c r="AB34" s="7"/>
      <c r="AC34" s="7"/>
      <c r="AF34" s="9"/>
      <c r="AG34" s="131"/>
      <c r="AH34" s="131"/>
      <c r="AI34" s="9"/>
      <c r="AJ34" s="9"/>
      <c r="AK34" s="131"/>
      <c r="AL34" s="131"/>
      <c r="AM34" s="31"/>
      <c r="AN34" s="31"/>
      <c r="AO34" s="137"/>
      <c r="AP34" s="137"/>
      <c r="AQ34" s="31"/>
      <c r="AR34" s="137"/>
      <c r="AS34" s="137"/>
    </row>
    <row r="35" spans="1:45" ht="18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T35" s="41">
        <f>SUM(T11:T34)</f>
        <v>268392.34354535246</v>
      </c>
      <c r="U35" s="41">
        <f t="shared" ref="U35:W35" si="9">SUM(U11:U34)</f>
        <v>112781.33047645554</v>
      </c>
      <c r="V35" s="41">
        <f t="shared" si="9"/>
        <v>61198.190212786918</v>
      </c>
      <c r="W35" s="41">
        <f t="shared" si="9"/>
        <v>40549.288277243759</v>
      </c>
      <c r="X35" s="41"/>
      <c r="Y35" s="41">
        <f>SUM(Y11:Y34)</f>
        <v>20617</v>
      </c>
      <c r="AA35" s="41">
        <f>SUM(AA11:AA34)</f>
        <v>1755.27</v>
      </c>
      <c r="AF35" s="9"/>
      <c r="AG35" s="131"/>
      <c r="AH35" s="131"/>
      <c r="AI35" s="9"/>
      <c r="AJ35" s="9"/>
      <c r="AK35" s="131"/>
      <c r="AL35" s="131"/>
      <c r="AM35" s="31"/>
      <c r="AN35" s="31"/>
      <c r="AO35" s="137"/>
      <c r="AP35" s="137"/>
      <c r="AQ35" s="31"/>
      <c r="AR35" s="137"/>
      <c r="AS35" s="137"/>
    </row>
    <row r="36" spans="1:45" ht="18.75" x14ac:dyDescent="0.3">
      <c r="A36" s="1"/>
      <c r="B36" s="21"/>
      <c r="C36" s="19"/>
      <c r="F36" s="20"/>
      <c r="G36" s="19"/>
      <c r="H36" s="19"/>
      <c r="I36" s="1"/>
      <c r="J36" s="1"/>
      <c r="M36" s="9"/>
      <c r="U36" s="132"/>
      <c r="V36" s="132"/>
      <c r="W36" s="132"/>
      <c r="X36" s="132"/>
      <c r="Y36" s="132"/>
      <c r="Z36" s="132"/>
      <c r="AA36" s="132"/>
      <c r="AB36" s="132"/>
      <c r="AC36" s="132"/>
      <c r="AF36" s="9"/>
      <c r="AG36" s="131"/>
      <c r="AH36" s="131"/>
      <c r="AI36" s="9"/>
      <c r="AJ36" s="9"/>
      <c r="AK36" s="131"/>
      <c r="AL36" s="131"/>
      <c r="AM36" s="31"/>
      <c r="AN36" s="31"/>
      <c r="AO36" s="137"/>
      <c r="AP36" s="137"/>
      <c r="AQ36" s="31"/>
      <c r="AR36" s="137"/>
      <c r="AS36" s="137"/>
    </row>
    <row r="37" spans="1:45" ht="18.75" x14ac:dyDescent="0.3">
      <c r="A37" s="140" t="s">
        <v>108</v>
      </c>
      <c r="B37" s="140"/>
      <c r="C37" s="140"/>
      <c r="D37" s="140"/>
      <c r="E37" s="140"/>
      <c r="F37" s="1"/>
      <c r="G37" s="1"/>
      <c r="H37" s="141" t="s">
        <v>123</v>
      </c>
      <c r="I37" s="141"/>
      <c r="J37" s="141"/>
      <c r="K37" s="141"/>
      <c r="L37" s="141"/>
      <c r="O37" s="132"/>
      <c r="P37" s="132"/>
      <c r="Q37" s="132"/>
      <c r="R37" s="132"/>
      <c r="S37" s="132"/>
      <c r="V37" s="9"/>
      <c r="W37" s="131"/>
      <c r="X37" s="131"/>
      <c r="Y37" s="9"/>
      <c r="Z37" s="9"/>
      <c r="AA37" s="131"/>
      <c r="AB37" s="131"/>
      <c r="AC37" s="31"/>
      <c r="AD37" s="31"/>
      <c r="AE37" s="137"/>
      <c r="AF37" s="137"/>
      <c r="AG37" s="31"/>
      <c r="AH37" s="137"/>
      <c r="AI37" s="137"/>
    </row>
    <row r="38" spans="1:45" ht="66" customHeight="1" x14ac:dyDescent="0.3">
      <c r="A38" s="46" t="s">
        <v>24</v>
      </c>
      <c r="B38" s="48" t="s">
        <v>109</v>
      </c>
      <c r="C38" s="46" t="s">
        <v>120</v>
      </c>
      <c r="D38" s="46" t="s">
        <v>121</v>
      </c>
      <c r="E38" s="48" t="s">
        <v>110</v>
      </c>
      <c r="F38" s="9"/>
      <c r="H38" s="46" t="s">
        <v>24</v>
      </c>
      <c r="I38" s="46" t="s">
        <v>124</v>
      </c>
      <c r="J38" s="46" t="s">
        <v>125</v>
      </c>
      <c r="K38" s="46" t="s">
        <v>126</v>
      </c>
      <c r="L38" s="46" t="s">
        <v>127</v>
      </c>
      <c r="O38" s="132"/>
      <c r="P38" s="132"/>
      <c r="Q38" s="132"/>
      <c r="R38" s="132"/>
      <c r="S38" s="132"/>
      <c r="V38" s="11"/>
      <c r="W38" s="131"/>
      <c r="X38" s="131"/>
      <c r="Y38" s="9"/>
      <c r="Z38" s="9"/>
      <c r="AA38" s="131"/>
      <c r="AB38" s="131"/>
      <c r="AC38" s="31"/>
      <c r="AD38" s="31"/>
      <c r="AE38" s="137"/>
      <c r="AF38" s="137"/>
      <c r="AG38" s="31"/>
      <c r="AH38" s="137"/>
      <c r="AI38" s="137"/>
    </row>
    <row r="39" spans="1:45" ht="47.25" x14ac:dyDescent="0.3">
      <c r="A39" s="46">
        <v>1</v>
      </c>
      <c r="B39" s="46" t="s">
        <v>114</v>
      </c>
      <c r="C39" s="49">
        <f>T35</f>
        <v>268392.34354535246</v>
      </c>
      <c r="D39" s="49">
        <f>U35</f>
        <v>112781.33047645554</v>
      </c>
      <c r="E39" s="49">
        <f>SUM(C39:D39)</f>
        <v>381173.67402180796</v>
      </c>
      <c r="H39" s="48">
        <v>1</v>
      </c>
      <c r="I39" s="52" t="s">
        <v>128</v>
      </c>
      <c r="J39" s="53">
        <f>Y35</f>
        <v>20617</v>
      </c>
      <c r="K39" s="54" t="s">
        <v>132</v>
      </c>
      <c r="L39" s="92">
        <f>SUM(L40:L42)</f>
        <v>953506.32132000022</v>
      </c>
      <c r="V39" s="11"/>
      <c r="W39" s="131"/>
      <c r="X39" s="131"/>
      <c r="Y39" s="9"/>
      <c r="Z39" s="9"/>
      <c r="AA39" s="131"/>
      <c r="AB39" s="131"/>
      <c r="AC39" s="31"/>
      <c r="AD39" s="31"/>
      <c r="AE39" s="137"/>
      <c r="AF39" s="137"/>
      <c r="AG39" s="31"/>
      <c r="AH39" s="137"/>
      <c r="AI39" s="137"/>
    </row>
    <row r="40" spans="1:45" ht="43.5" customHeight="1" x14ac:dyDescent="0.3">
      <c r="A40" s="46">
        <f>1+A39</f>
        <v>2</v>
      </c>
      <c r="B40" s="46" t="s">
        <v>115</v>
      </c>
      <c r="C40" s="49">
        <f>V35</f>
        <v>61198.190212786918</v>
      </c>
      <c r="D40" s="49">
        <f>W35</f>
        <v>40549.288277243759</v>
      </c>
      <c r="E40" s="49">
        <f t="shared" ref="E40:E47" si="10">SUM(C40:D40)</f>
        <v>101747.47849003068</v>
      </c>
      <c r="H40" s="48"/>
      <c r="I40" s="52" t="s">
        <v>129</v>
      </c>
      <c r="J40" s="53">
        <f>J39-J41</f>
        <v>6974.0400000000009</v>
      </c>
      <c r="K40" s="55">
        <v>42.2</v>
      </c>
      <c r="L40" s="55">
        <f>J40*K40</f>
        <v>294304.48800000007</v>
      </c>
      <c r="N40" s="1"/>
      <c r="O40" s="11"/>
      <c r="P40" s="11"/>
      <c r="Q40" s="11"/>
      <c r="R40" s="11"/>
      <c r="S40" s="11"/>
      <c r="V40" s="11"/>
      <c r="W40" s="32"/>
      <c r="X40" s="32"/>
      <c r="Y40" s="32"/>
      <c r="Z40" s="32"/>
      <c r="AA40" s="32"/>
      <c r="AB40" s="32"/>
      <c r="AC40" s="32"/>
      <c r="AD40" s="31"/>
      <c r="AE40" s="137"/>
      <c r="AF40" s="137"/>
      <c r="AG40" s="31"/>
      <c r="AH40" s="137"/>
      <c r="AI40" s="137"/>
    </row>
    <row r="41" spans="1:45" ht="31.5" x14ac:dyDescent="0.3">
      <c r="A41" s="46">
        <f t="shared" ref="A41:A45" si="11">1+A40</f>
        <v>3</v>
      </c>
      <c r="B41" s="46" t="s">
        <v>116</v>
      </c>
      <c r="C41" s="49">
        <f>(T15+T32+T31+T29)*0.05</f>
        <v>3850.0388200481611</v>
      </c>
      <c r="D41" s="49">
        <f>(U31)*0.05</f>
        <v>1319.1111820227279</v>
      </c>
      <c r="E41" s="49">
        <f t="shared" si="10"/>
        <v>5169.1500020708891</v>
      </c>
      <c r="H41" s="48"/>
      <c r="I41" s="52" t="s">
        <v>130</v>
      </c>
      <c r="J41" s="53">
        <f>Y13+Y18+Y22+Y27+Y32</f>
        <v>13642.96</v>
      </c>
      <c r="K41" s="55">
        <v>44.99</v>
      </c>
      <c r="L41" s="53">
        <f>J41*K41</f>
        <v>613796.77040000004</v>
      </c>
      <c r="N41" s="1"/>
      <c r="O41" s="11"/>
      <c r="P41" s="11"/>
      <c r="Q41" s="11"/>
      <c r="R41" s="11"/>
      <c r="S41" s="11"/>
      <c r="V41" s="9"/>
      <c r="W41" s="131"/>
      <c r="X41" s="131"/>
      <c r="Y41" s="9"/>
      <c r="Z41" s="9"/>
      <c r="AA41" s="131"/>
      <c r="AB41" s="131"/>
      <c r="AC41" s="31"/>
      <c r="AD41" s="31"/>
      <c r="AE41" s="137"/>
      <c r="AF41" s="137"/>
      <c r="AG41" s="31"/>
      <c r="AH41" s="137"/>
      <c r="AI41" s="137"/>
    </row>
    <row r="42" spans="1:45" ht="47.25" x14ac:dyDescent="0.25">
      <c r="A42" s="46">
        <f t="shared" si="11"/>
        <v>4</v>
      </c>
      <c r="B42" s="46" t="s">
        <v>117</v>
      </c>
      <c r="C42" s="49">
        <f>(T11+T12+T13+T15+T20+T24+T28+T29+T31+T32+T33)*0.05</f>
        <v>11446.705895089763</v>
      </c>
      <c r="D42" s="46">
        <f>(U28+U31)*0.05</f>
        <v>1586.4985837840916</v>
      </c>
      <c r="E42" s="49">
        <f t="shared" si="10"/>
        <v>13033.204478873855</v>
      </c>
      <c r="H42" s="48"/>
      <c r="I42" s="52" t="s">
        <v>131</v>
      </c>
      <c r="J42" s="55">
        <v>0</v>
      </c>
      <c r="K42" s="55">
        <v>0</v>
      </c>
      <c r="L42" s="53">
        <f>(L41+L40)*0.05</f>
        <v>45405.062920000011</v>
      </c>
      <c r="M42" t="s">
        <v>161</v>
      </c>
      <c r="N42" s="1"/>
      <c r="V42" s="9"/>
      <c r="W42" s="131"/>
      <c r="X42" s="131"/>
      <c r="Y42" s="9"/>
      <c r="Z42" s="9"/>
      <c r="AA42" s="131"/>
      <c r="AB42" s="131"/>
      <c r="AC42" s="31"/>
      <c r="AD42" s="31"/>
      <c r="AE42" s="137"/>
      <c r="AF42" s="137"/>
      <c r="AG42" s="31"/>
      <c r="AH42" s="137"/>
      <c r="AI42" s="137"/>
    </row>
    <row r="43" spans="1:45" ht="47.25" x14ac:dyDescent="0.25">
      <c r="A43" s="46">
        <f t="shared" si="11"/>
        <v>5</v>
      </c>
      <c r="B43" s="46" t="s">
        <v>118</v>
      </c>
      <c r="C43" s="49">
        <f>SUM(C39:C42)</f>
        <v>344887.27847327729</v>
      </c>
      <c r="D43" s="49">
        <f>SUM(D39:D42)</f>
        <v>156236.22851950611</v>
      </c>
      <c r="E43" s="49">
        <f>SUM(E39:E42)</f>
        <v>501123.5069927834</v>
      </c>
      <c r="F43" s="32"/>
      <c r="G43" s="32"/>
      <c r="H43" s="48">
        <v>2</v>
      </c>
      <c r="I43" s="52" t="s">
        <v>133</v>
      </c>
      <c r="J43" s="55">
        <f>180000</f>
        <v>180000</v>
      </c>
      <c r="K43" s="55">
        <v>13</v>
      </c>
      <c r="L43" s="55">
        <f>J43*K43</f>
        <v>2340000</v>
      </c>
      <c r="M43" s="50"/>
      <c r="N43" s="1"/>
      <c r="V43" s="9"/>
      <c r="W43" s="131"/>
      <c r="X43" s="131"/>
      <c r="Y43" s="9"/>
      <c r="Z43" s="9"/>
      <c r="AA43" s="131"/>
      <c r="AB43" s="131"/>
      <c r="AC43" s="31"/>
      <c r="AD43" s="31"/>
      <c r="AE43" s="137"/>
      <c r="AF43" s="137"/>
      <c r="AG43" s="31"/>
      <c r="AH43" s="137"/>
      <c r="AI43" s="137"/>
    </row>
    <row r="44" spans="1:45" ht="47.25" x14ac:dyDescent="0.25">
      <c r="A44" s="46">
        <f t="shared" si="11"/>
        <v>6</v>
      </c>
      <c r="B44" s="46" t="s">
        <v>119</v>
      </c>
      <c r="C44" s="86">
        <f>C43/100*8.8</f>
        <v>30350.080505648402</v>
      </c>
      <c r="D44" s="86">
        <f>D43/100*8.8</f>
        <v>13748.788109716539</v>
      </c>
      <c r="E44" s="86">
        <f>SUM(C44:D44)</f>
        <v>44098.86861536494</v>
      </c>
      <c r="F44" s="9"/>
      <c r="G44" s="9"/>
      <c r="H44" s="48">
        <v>3</v>
      </c>
      <c r="I44" s="52" t="s">
        <v>134</v>
      </c>
      <c r="J44" s="55"/>
      <c r="K44" s="54" t="s">
        <v>132</v>
      </c>
      <c r="L44" s="91">
        <f>SUM(L45:L47)</f>
        <v>1154000</v>
      </c>
      <c r="M44" s="50"/>
      <c r="N44" s="1"/>
      <c r="V44" s="9"/>
      <c r="W44" s="131"/>
      <c r="X44" s="131"/>
      <c r="Y44" s="9"/>
      <c r="Z44" s="9"/>
      <c r="AA44" s="131"/>
      <c r="AB44" s="131"/>
      <c r="AC44" s="31"/>
      <c r="AD44" s="31"/>
      <c r="AE44" s="137"/>
      <c r="AF44" s="137"/>
      <c r="AG44" s="31"/>
      <c r="AH44" s="137"/>
      <c r="AI44" s="137"/>
    </row>
    <row r="45" spans="1:45" ht="31.5" x14ac:dyDescent="0.25">
      <c r="A45" s="46">
        <f t="shared" si="11"/>
        <v>7</v>
      </c>
      <c r="B45" s="46" t="s">
        <v>113</v>
      </c>
      <c r="C45" s="49">
        <f>SUM(C43:C44)</f>
        <v>375237.35897892568</v>
      </c>
      <c r="D45" s="49">
        <f>SUM(D43:D44)</f>
        <v>169985.01662922266</v>
      </c>
      <c r="E45" s="49">
        <f t="shared" si="10"/>
        <v>545222.37560814829</v>
      </c>
      <c r="F45" s="9"/>
      <c r="G45" s="9"/>
      <c r="H45" s="48"/>
      <c r="I45" s="52" t="s">
        <v>162</v>
      </c>
      <c r="J45" s="55">
        <f>J48*0.004</f>
        <v>20</v>
      </c>
      <c r="K45" s="55">
        <v>14000</v>
      </c>
      <c r="L45" s="55">
        <f>J45*K45</f>
        <v>280000</v>
      </c>
      <c r="M45" s="50"/>
      <c r="N45" s="1"/>
      <c r="V45" s="9"/>
      <c r="W45" s="131"/>
      <c r="X45" s="131"/>
      <c r="Y45" s="9"/>
      <c r="Z45" s="9"/>
      <c r="AA45" s="131"/>
      <c r="AB45" s="131"/>
      <c r="AC45" s="31"/>
      <c r="AD45" s="31"/>
      <c r="AE45" s="137"/>
      <c r="AF45" s="137"/>
      <c r="AG45" s="31"/>
      <c r="AH45" s="137"/>
      <c r="AI45" s="137"/>
    </row>
    <row r="46" spans="1:45" ht="31.5" x14ac:dyDescent="0.3">
      <c r="A46" s="46"/>
      <c r="B46" s="46" t="s">
        <v>112</v>
      </c>
      <c r="C46" s="46">
        <f>C45*0.3</f>
        <v>112571.2076936777</v>
      </c>
      <c r="D46" s="46">
        <f>D45*0.3</f>
        <v>50995.504988766799</v>
      </c>
      <c r="E46" s="49">
        <f t="shared" si="10"/>
        <v>163566.71268244449</v>
      </c>
      <c r="F46" s="9"/>
      <c r="G46" s="9"/>
      <c r="H46" s="48"/>
      <c r="I46" s="52" t="s">
        <v>135</v>
      </c>
      <c r="J46" s="55">
        <f>J48*0.002</f>
        <v>10</v>
      </c>
      <c r="K46" s="55">
        <v>18400</v>
      </c>
      <c r="L46" s="55">
        <f t="shared" ref="L46:L47" si="12">J46*K46</f>
        <v>184000</v>
      </c>
      <c r="M46" s="50"/>
      <c r="N46" s="1"/>
      <c r="S46" s="11"/>
      <c r="V46" s="9"/>
      <c r="W46" s="131"/>
      <c r="X46" s="131"/>
      <c r="Y46" s="9"/>
      <c r="Z46" s="9"/>
      <c r="AA46" s="131"/>
      <c r="AB46" s="131"/>
      <c r="AC46" s="31"/>
      <c r="AD46" s="31"/>
      <c r="AE46" s="137"/>
      <c r="AF46" s="137"/>
      <c r="AG46" s="31"/>
      <c r="AH46" s="137"/>
      <c r="AI46" s="137"/>
    </row>
    <row r="47" spans="1:45" ht="18.75" x14ac:dyDescent="0.3">
      <c r="A47" s="46"/>
      <c r="B47" s="47" t="s">
        <v>111</v>
      </c>
      <c r="C47" s="49">
        <f>SUM(C45:C46)</f>
        <v>487808.56667260337</v>
      </c>
      <c r="D47" s="49">
        <f>SUM(D45:D46)</f>
        <v>220980.52161798946</v>
      </c>
      <c r="E47" s="49">
        <f t="shared" si="10"/>
        <v>708789.08829059289</v>
      </c>
      <c r="H47" s="48"/>
      <c r="I47" s="52" t="s">
        <v>136</v>
      </c>
      <c r="J47" s="55">
        <f>J48*0.006</f>
        <v>30</v>
      </c>
      <c r="K47" s="55">
        <v>23000</v>
      </c>
      <c r="L47" s="55">
        <f t="shared" si="12"/>
        <v>690000</v>
      </c>
      <c r="N47" s="1"/>
      <c r="S47" s="11"/>
      <c r="V47" s="9"/>
      <c r="W47" s="131"/>
      <c r="X47" s="131"/>
      <c r="Y47" s="9"/>
      <c r="Z47" s="9"/>
      <c r="AA47" s="131"/>
      <c r="AB47" s="131"/>
      <c r="AC47" s="31"/>
      <c r="AD47" s="31"/>
      <c r="AE47" s="137"/>
      <c r="AF47" s="137"/>
      <c r="AG47" s="31"/>
      <c r="AH47" s="137"/>
      <c r="AI47" s="137"/>
    </row>
    <row r="48" spans="1:45" ht="31.5" x14ac:dyDescent="0.25">
      <c r="E48" s="30">
        <f>E47/100</f>
        <v>7087.8908829059292</v>
      </c>
      <c r="F48" s="30" t="s">
        <v>122</v>
      </c>
      <c r="G48" s="30"/>
      <c r="H48" s="48">
        <v>4</v>
      </c>
      <c r="I48" s="56" t="s">
        <v>137</v>
      </c>
      <c r="J48" s="55">
        <v>5000</v>
      </c>
      <c r="K48" s="57">
        <v>100</v>
      </c>
      <c r="L48" s="91">
        <f>J48*K48</f>
        <v>500000</v>
      </c>
      <c r="N48" s="1"/>
      <c r="V48" s="9"/>
      <c r="W48" s="131"/>
      <c r="X48" s="131"/>
      <c r="Y48" s="9"/>
      <c r="Z48" s="9"/>
      <c r="AA48" s="131"/>
      <c r="AB48" s="131"/>
      <c r="AC48" s="31"/>
      <c r="AD48" s="31"/>
      <c r="AE48" s="137"/>
      <c r="AF48" s="137"/>
      <c r="AG48" s="31"/>
      <c r="AH48" s="137"/>
      <c r="AI48" s="137"/>
    </row>
    <row r="49" spans="1:35" ht="43.5" customHeight="1" x14ac:dyDescent="0.3">
      <c r="A49" s="1"/>
      <c r="E49" s="11"/>
      <c r="F49" s="11"/>
      <c r="H49" s="48">
        <v>5</v>
      </c>
      <c r="I49" s="52" t="s">
        <v>138</v>
      </c>
      <c r="J49" s="53">
        <f>AA35</f>
        <v>1755.27</v>
      </c>
      <c r="K49" s="55">
        <v>4.43</v>
      </c>
      <c r="L49" s="92">
        <f>J49*K49</f>
        <v>7775.8460999999998</v>
      </c>
      <c r="N49" s="1"/>
      <c r="V49" s="9"/>
      <c r="W49" s="131"/>
      <c r="X49" s="131"/>
      <c r="Y49" s="9"/>
      <c r="Z49" s="9"/>
      <c r="AA49" s="131"/>
      <c r="AB49" s="131"/>
      <c r="AC49" s="31"/>
      <c r="AD49" s="31"/>
      <c r="AE49" s="137"/>
      <c r="AF49" s="137"/>
      <c r="AG49" s="31"/>
      <c r="AH49" s="137"/>
      <c r="AI49" s="137"/>
    </row>
    <row r="50" spans="1:35" ht="41.25" customHeight="1" x14ac:dyDescent="0.3">
      <c r="F50" s="11"/>
      <c r="H50" s="48">
        <v>6</v>
      </c>
      <c r="I50" s="52" t="s">
        <v>139</v>
      </c>
      <c r="J50" s="55"/>
      <c r="K50" s="55"/>
      <c r="L50" s="91">
        <f>L51</f>
        <v>214500</v>
      </c>
      <c r="N50" s="1"/>
      <c r="V50" s="9"/>
      <c r="W50" s="131"/>
      <c r="X50" s="131"/>
      <c r="Y50" s="9"/>
      <c r="Z50" s="9"/>
      <c r="AA50" s="131"/>
      <c r="AB50" s="131"/>
      <c r="AC50" s="31"/>
      <c r="AD50" s="31"/>
      <c r="AE50" s="137"/>
      <c r="AF50" s="137"/>
      <c r="AG50" s="31"/>
      <c r="AH50" s="137"/>
      <c r="AI50" s="137"/>
    </row>
    <row r="51" spans="1:35" ht="48" x14ac:dyDescent="0.3">
      <c r="F51" s="11"/>
      <c r="H51" s="48"/>
      <c r="I51" s="52" t="s">
        <v>163</v>
      </c>
      <c r="J51" s="55">
        <f>0.65*100+1*100</f>
        <v>165</v>
      </c>
      <c r="K51" s="55">
        <v>1300</v>
      </c>
      <c r="L51" s="55">
        <f>J51*K51</f>
        <v>214500</v>
      </c>
      <c r="N51" s="1"/>
      <c r="V51" s="9"/>
      <c r="W51" s="131"/>
      <c r="X51" s="131"/>
      <c r="Y51" s="9"/>
      <c r="Z51" s="9"/>
      <c r="AA51" s="131"/>
      <c r="AB51" s="131"/>
      <c r="AC51" s="31"/>
      <c r="AD51" s="31"/>
      <c r="AE51" s="137"/>
      <c r="AF51" s="137"/>
      <c r="AG51" s="31"/>
      <c r="AH51" s="137"/>
      <c r="AI51" s="137"/>
    </row>
    <row r="52" spans="1:35" ht="44.25" customHeight="1" x14ac:dyDescent="0.3">
      <c r="F52" s="11"/>
      <c r="H52" s="48">
        <v>7</v>
      </c>
      <c r="I52" s="52" t="s">
        <v>140</v>
      </c>
      <c r="J52" s="55">
        <v>0</v>
      </c>
      <c r="K52" s="55">
        <v>0</v>
      </c>
      <c r="L52" s="55">
        <v>0</v>
      </c>
      <c r="N52" s="1"/>
      <c r="V52" s="9"/>
      <c r="W52" s="131"/>
      <c r="X52" s="131"/>
      <c r="Y52" s="9"/>
      <c r="Z52" s="9"/>
      <c r="AA52" s="131"/>
      <c r="AB52" s="131"/>
      <c r="AC52" s="31"/>
      <c r="AD52" s="31"/>
      <c r="AE52" s="137"/>
      <c r="AF52" s="137"/>
      <c r="AG52" s="31"/>
      <c r="AH52" s="137"/>
      <c r="AI52" s="137"/>
    </row>
    <row r="53" spans="1:35" ht="31.5" x14ac:dyDescent="0.25">
      <c r="H53" s="48">
        <v>8</v>
      </c>
      <c r="I53" s="52" t="s">
        <v>141</v>
      </c>
      <c r="J53" s="55">
        <v>0</v>
      </c>
      <c r="K53" s="55">
        <v>0</v>
      </c>
      <c r="L53" s="81">
        <v>15000</v>
      </c>
      <c r="N53" s="1"/>
      <c r="V53" s="9"/>
      <c r="W53" s="131"/>
      <c r="X53" s="131"/>
      <c r="Y53" s="9"/>
      <c r="Z53" s="9"/>
      <c r="AA53" s="131"/>
      <c r="AB53" s="131"/>
      <c r="AC53" s="31"/>
      <c r="AD53" s="31"/>
      <c r="AE53" s="137"/>
      <c r="AF53" s="137"/>
      <c r="AG53" s="31"/>
      <c r="AH53" s="137"/>
      <c r="AI53" s="137"/>
    </row>
    <row r="54" spans="1:35" ht="18.75" x14ac:dyDescent="0.25">
      <c r="H54" s="48"/>
      <c r="I54" s="58" t="s">
        <v>142</v>
      </c>
      <c r="J54" s="55"/>
      <c r="K54" s="55"/>
      <c r="L54" s="87">
        <f>SUM(L39:L53)-L51-L44-L39</f>
        <v>5184782.1674199998</v>
      </c>
      <c r="M54" s="93"/>
      <c r="N54" s="22"/>
      <c r="V54" s="9"/>
      <c r="W54" s="131"/>
      <c r="X54" s="131"/>
      <c r="Y54" s="9"/>
      <c r="Z54" s="9"/>
      <c r="AA54" s="131"/>
      <c r="AB54" s="131"/>
      <c r="AC54" s="31"/>
      <c r="AD54" s="31"/>
      <c r="AE54" s="137"/>
      <c r="AF54" s="137"/>
      <c r="AG54" s="31"/>
      <c r="AH54" s="137"/>
      <c r="AI54" s="137"/>
    </row>
    <row r="55" spans="1:35" ht="18.75" customHeight="1" x14ac:dyDescent="0.3">
      <c r="N55" s="1"/>
      <c r="V55" s="11"/>
      <c r="W55" s="131"/>
      <c r="X55" s="131"/>
      <c r="Y55" s="9"/>
      <c r="Z55" s="9"/>
      <c r="AA55" s="131"/>
      <c r="AB55" s="131"/>
      <c r="AC55" s="9"/>
      <c r="AD55" s="31"/>
      <c r="AE55" s="137"/>
      <c r="AF55" s="137"/>
      <c r="AG55" s="31"/>
      <c r="AH55" s="137"/>
      <c r="AI55" s="137"/>
    </row>
    <row r="56" spans="1:35" ht="18.75" customHeight="1" x14ac:dyDescent="0.3">
      <c r="F56" s="61" t="s">
        <v>155</v>
      </c>
      <c r="G56" s="39"/>
      <c r="H56" s="60" t="s">
        <v>51</v>
      </c>
      <c r="N56" s="1"/>
      <c r="V56" s="11"/>
      <c r="W56" s="131"/>
      <c r="X56" s="131"/>
      <c r="Y56" s="9"/>
      <c r="Z56" s="9"/>
      <c r="AA56" s="131"/>
      <c r="AB56" s="131"/>
      <c r="AC56" s="9"/>
      <c r="AD56" s="31"/>
      <c r="AE56" s="137"/>
      <c r="AF56" s="137"/>
      <c r="AG56" s="31"/>
      <c r="AH56" s="137"/>
      <c r="AI56" s="137"/>
    </row>
    <row r="57" spans="1:35" ht="18.75" customHeight="1" x14ac:dyDescent="0.3">
      <c r="F57" s="63" t="s">
        <v>156</v>
      </c>
      <c r="G57" s="11"/>
      <c r="H57" s="60" t="s">
        <v>70</v>
      </c>
      <c r="N57" s="1"/>
    </row>
    <row r="58" spans="1:35" ht="18.75" x14ac:dyDescent="0.3">
      <c r="H58" s="62" t="s">
        <v>104</v>
      </c>
      <c r="N58" s="1"/>
      <c r="V58" s="11"/>
    </row>
    <row r="59" spans="1:35" ht="18.75" x14ac:dyDescent="0.3">
      <c r="H59" s="64" t="s">
        <v>72</v>
      </c>
      <c r="N59" s="22"/>
      <c r="V59" s="11"/>
    </row>
    <row r="60" spans="1:35" x14ac:dyDescent="0.25">
      <c r="H60" s="60" t="s">
        <v>27</v>
      </c>
      <c r="N60" s="1"/>
    </row>
    <row r="61" spans="1:35" x14ac:dyDescent="0.25">
      <c r="H61" s="60" t="s">
        <v>79</v>
      </c>
      <c r="N61" s="1"/>
    </row>
    <row r="62" spans="1:35" x14ac:dyDescent="0.25">
      <c r="H62" s="62" t="s">
        <v>88</v>
      </c>
      <c r="N62" s="1"/>
      <c r="V62" s="105"/>
      <c r="W62" s="105"/>
      <c r="X62" s="105"/>
      <c r="Y62" s="106"/>
      <c r="Z62" s="106"/>
      <c r="AA62" s="106"/>
      <c r="AB62" s="105"/>
      <c r="AC62" s="106"/>
      <c r="AD62" s="105"/>
      <c r="AE62" s="105"/>
    </row>
    <row r="63" spans="1:35" x14ac:dyDescent="0.25">
      <c r="V63" s="105"/>
      <c r="W63" s="105"/>
      <c r="X63" s="105"/>
      <c r="Y63" s="106"/>
      <c r="Z63" s="106"/>
      <c r="AA63" s="106"/>
      <c r="AB63" s="105"/>
      <c r="AC63" s="106"/>
      <c r="AD63" s="105"/>
      <c r="AE63" s="105"/>
    </row>
    <row r="64" spans="1:35" ht="44.25" customHeight="1" x14ac:dyDescent="0.3">
      <c r="A64" s="103" t="s">
        <v>143</v>
      </c>
      <c r="B64" s="103"/>
      <c r="C64" s="103"/>
      <c r="D64" s="103"/>
      <c r="E64" s="103"/>
      <c r="F64" s="103"/>
      <c r="G64" s="103"/>
      <c r="H64" s="103"/>
      <c r="I64" s="103"/>
      <c r="J64" s="103"/>
      <c r="M64" s="107" t="s">
        <v>176</v>
      </c>
      <c r="N64" s="107"/>
      <c r="O64" s="107"/>
      <c r="W64" s="1"/>
      <c r="X64" s="105"/>
      <c r="Y64" s="105"/>
      <c r="Z64" s="1"/>
      <c r="AA64" s="1"/>
      <c r="AB64" s="19"/>
      <c r="AC64" s="1"/>
      <c r="AD64" s="1"/>
      <c r="AE64" s="1"/>
      <c r="AF64" s="1"/>
    </row>
    <row r="65" spans="1:33" ht="40.5" customHeight="1" x14ac:dyDescent="0.3">
      <c r="A65" s="104" t="s">
        <v>144</v>
      </c>
      <c r="B65" s="104" t="s">
        <v>157</v>
      </c>
      <c r="C65" s="104" t="s">
        <v>145</v>
      </c>
      <c r="D65" s="104"/>
      <c r="E65" s="104" t="s">
        <v>148</v>
      </c>
      <c r="F65" s="104"/>
      <c r="G65" s="104" t="s">
        <v>150</v>
      </c>
      <c r="H65" s="104"/>
      <c r="I65" s="104" t="s">
        <v>154</v>
      </c>
      <c r="J65" s="104"/>
      <c r="M65" s="94" t="s">
        <v>109</v>
      </c>
      <c r="N65" s="94" t="s">
        <v>179</v>
      </c>
      <c r="O65" s="94" t="s">
        <v>177</v>
      </c>
      <c r="W65" s="1"/>
      <c r="X65" s="105"/>
      <c r="Y65" s="105"/>
      <c r="Z65" s="1"/>
      <c r="AA65" s="1"/>
      <c r="AB65" s="19"/>
      <c r="AC65" s="1"/>
      <c r="AD65" s="1"/>
      <c r="AE65" s="1"/>
      <c r="AF65" s="1"/>
    </row>
    <row r="66" spans="1:33" ht="56.25" x14ac:dyDescent="0.25">
      <c r="A66" s="104"/>
      <c r="B66" s="104"/>
      <c r="C66" s="59" t="s">
        <v>146</v>
      </c>
      <c r="D66" s="59" t="s">
        <v>147</v>
      </c>
      <c r="E66" s="59" t="s">
        <v>149</v>
      </c>
      <c r="F66" s="59" t="s">
        <v>153</v>
      </c>
      <c r="G66" s="59" t="s">
        <v>151</v>
      </c>
      <c r="H66" s="59" t="s">
        <v>152</v>
      </c>
      <c r="I66" s="59" t="s">
        <v>151</v>
      </c>
      <c r="J66" s="59" t="s">
        <v>152</v>
      </c>
      <c r="M66" s="95" t="s">
        <v>164</v>
      </c>
      <c r="N66" s="97">
        <f>E47</f>
        <v>708789.08829059289</v>
      </c>
      <c r="O66" s="97">
        <f>$O$77*N66/$N$77</f>
        <v>10.066504896897651</v>
      </c>
      <c r="W66" s="1"/>
      <c r="X66" s="105"/>
      <c r="Y66" s="105"/>
      <c r="Z66" s="1"/>
      <c r="AA66" s="1"/>
      <c r="AB66" s="19"/>
      <c r="AC66" s="1"/>
      <c r="AD66" s="1"/>
      <c r="AE66" s="1"/>
      <c r="AF66" s="1"/>
    </row>
    <row r="67" spans="1:33" ht="56.25" x14ac:dyDescent="0.3">
      <c r="A67" s="5" t="s">
        <v>83</v>
      </c>
      <c r="B67" s="51">
        <v>80000</v>
      </c>
      <c r="C67" s="51">
        <v>10</v>
      </c>
      <c r="D67" s="51">
        <v>7</v>
      </c>
      <c r="E67" s="51">
        <v>180</v>
      </c>
      <c r="F67" s="51">
        <f>M26*7</f>
        <v>7</v>
      </c>
      <c r="G67" s="88">
        <f>B67*C67/100/E67</f>
        <v>44.444444444444443</v>
      </c>
      <c r="H67" s="88">
        <f t="shared" ref="H67:H80" si="13">G67*F67</f>
        <v>311.11111111111109</v>
      </c>
      <c r="I67" s="90">
        <f t="shared" ref="I67:I80" si="14">B67*D67/100/E67</f>
        <v>31.111111111111111</v>
      </c>
      <c r="J67" s="90">
        <f>I67*F67</f>
        <v>217.77777777777777</v>
      </c>
      <c r="M67" s="94" t="s">
        <v>165</v>
      </c>
      <c r="N67" s="98">
        <f>L43</f>
        <v>2340000</v>
      </c>
      <c r="O67" s="97">
        <f t="shared" ref="O67:O76" si="15">$O$77*N67/$N$77</f>
        <v>33.233611871128375</v>
      </c>
      <c r="X67" s="1"/>
      <c r="Y67" s="105"/>
      <c r="Z67" s="105"/>
      <c r="AA67" s="1"/>
      <c r="AB67" s="1"/>
      <c r="AC67" s="19"/>
      <c r="AD67" s="1"/>
      <c r="AE67" s="1"/>
      <c r="AF67" s="1"/>
      <c r="AG67" s="1"/>
    </row>
    <row r="68" spans="1:33" ht="56.25" x14ac:dyDescent="0.3">
      <c r="A68" s="5" t="s">
        <v>84</v>
      </c>
      <c r="B68" s="51">
        <v>600000</v>
      </c>
      <c r="C68" s="51">
        <v>10</v>
      </c>
      <c r="D68" s="51">
        <v>7</v>
      </c>
      <c r="E68" s="51">
        <v>180</v>
      </c>
      <c r="F68" s="88">
        <f>M28*7</f>
        <v>35</v>
      </c>
      <c r="G68" s="88">
        <f t="shared" ref="G68:G80" si="16">B68*C68/100/E68</f>
        <v>333.33333333333331</v>
      </c>
      <c r="H68" s="88">
        <f t="shared" si="13"/>
        <v>11666.666666666666</v>
      </c>
      <c r="I68" s="90">
        <f t="shared" si="14"/>
        <v>233.33333333333334</v>
      </c>
      <c r="J68" s="90">
        <f t="shared" ref="J68:J80" si="17">I68*F68</f>
        <v>8166.666666666667</v>
      </c>
      <c r="M68" s="94" t="s">
        <v>166</v>
      </c>
      <c r="N68" s="98">
        <f>L48+L44</f>
        <v>1654000</v>
      </c>
      <c r="O68" s="97">
        <f t="shared" si="15"/>
        <v>23.490766681558263</v>
      </c>
      <c r="X68" s="138"/>
      <c r="Y68" s="138"/>
      <c r="Z68" s="138"/>
      <c r="AA68" s="138"/>
      <c r="AB68" s="138"/>
      <c r="AC68" s="138"/>
      <c r="AD68" s="138"/>
      <c r="AE68" s="138"/>
      <c r="AF68" s="138"/>
      <c r="AG68" s="1"/>
    </row>
    <row r="69" spans="1:33" ht="75" x14ac:dyDescent="0.3">
      <c r="A69" s="65" t="s">
        <v>75</v>
      </c>
      <c r="B69" s="84">
        <v>65000</v>
      </c>
      <c r="C69" s="84">
        <f>1/8*100</f>
        <v>12.5</v>
      </c>
      <c r="D69" s="84">
        <v>7</v>
      </c>
      <c r="E69" s="84">
        <v>160</v>
      </c>
      <c r="F69" s="89">
        <f>7*(M16+M20+M25)</f>
        <v>86.406743940990509</v>
      </c>
      <c r="G69" s="89">
        <f>B69*C69/100/E69</f>
        <v>50.78125</v>
      </c>
      <c r="H69" s="89">
        <f t="shared" si="13"/>
        <v>4387.8424657534242</v>
      </c>
      <c r="I69" s="85">
        <f t="shared" si="14"/>
        <v>28.4375</v>
      </c>
      <c r="J69" s="85">
        <f t="shared" si="17"/>
        <v>2457.1917808219177</v>
      </c>
      <c r="M69" s="94" t="s">
        <v>167</v>
      </c>
      <c r="N69" s="98">
        <f>L50</f>
        <v>214500</v>
      </c>
      <c r="O69" s="97">
        <f t="shared" si="15"/>
        <v>3.046414421520101</v>
      </c>
      <c r="X69" s="139"/>
      <c r="Y69" s="139"/>
      <c r="Z69" s="139"/>
      <c r="AA69" s="139"/>
      <c r="AB69" s="139"/>
      <c r="AC69" s="139"/>
      <c r="AD69" s="139"/>
      <c r="AE69" s="139"/>
      <c r="AF69" s="139"/>
      <c r="AG69" s="1"/>
    </row>
    <row r="70" spans="1:33" ht="61.5" customHeight="1" x14ac:dyDescent="0.3">
      <c r="A70" s="5" t="s">
        <v>88</v>
      </c>
      <c r="B70" s="51">
        <v>120000</v>
      </c>
      <c r="C70" s="51">
        <v>10</v>
      </c>
      <c r="D70" s="51">
        <v>8</v>
      </c>
      <c r="E70" s="51">
        <v>400</v>
      </c>
      <c r="F70" s="88">
        <f>M27*7</f>
        <v>0.28000000000000003</v>
      </c>
      <c r="G70" s="88">
        <f t="shared" si="16"/>
        <v>30</v>
      </c>
      <c r="H70" s="88">
        <f t="shared" si="13"/>
        <v>8.4</v>
      </c>
      <c r="I70" s="90">
        <f t="shared" si="14"/>
        <v>24</v>
      </c>
      <c r="J70" s="90">
        <f t="shared" si="17"/>
        <v>6.7200000000000006</v>
      </c>
      <c r="M70" s="94" t="s">
        <v>168</v>
      </c>
      <c r="N70" s="97">
        <f>L39</f>
        <v>953506.32132000022</v>
      </c>
      <c r="O70" s="97">
        <f t="shared" si="15"/>
        <v>13.542076495477055</v>
      </c>
      <c r="X70" s="138"/>
      <c r="Y70" s="138"/>
      <c r="Z70" s="138"/>
      <c r="AA70" s="138"/>
      <c r="AB70" s="138"/>
      <c r="AC70" s="138"/>
      <c r="AD70" s="138"/>
      <c r="AE70" s="138"/>
      <c r="AF70" s="138"/>
    </row>
    <row r="71" spans="1:33" ht="38.25" customHeight="1" x14ac:dyDescent="0.3">
      <c r="A71" s="5" t="s">
        <v>70</v>
      </c>
      <c r="B71" s="51">
        <v>500000</v>
      </c>
      <c r="C71" s="51">
        <v>10</v>
      </c>
      <c r="D71" s="51">
        <v>9</v>
      </c>
      <c r="E71" s="51">
        <v>900</v>
      </c>
      <c r="F71" s="88">
        <f>7*(M12+M16)</f>
        <v>305.12820512820508</v>
      </c>
      <c r="G71" s="88">
        <f t="shared" si="16"/>
        <v>55.555555555555557</v>
      </c>
      <c r="H71" s="88">
        <f t="shared" si="13"/>
        <v>16951.566951566951</v>
      </c>
      <c r="I71" s="90">
        <f t="shared" si="14"/>
        <v>50</v>
      </c>
      <c r="J71" s="90">
        <f t="shared" si="17"/>
        <v>15256.410256410254</v>
      </c>
      <c r="M71" s="94" t="s">
        <v>169</v>
      </c>
      <c r="N71" s="98">
        <f>L52</f>
        <v>0</v>
      </c>
      <c r="O71" s="97">
        <f t="shared" si="15"/>
        <v>0</v>
      </c>
    </row>
    <row r="72" spans="1:33" ht="36" customHeight="1" x14ac:dyDescent="0.3">
      <c r="A72" s="5" t="s">
        <v>87</v>
      </c>
      <c r="B72" s="51">
        <v>300000</v>
      </c>
      <c r="C72" s="51">
        <v>12.5</v>
      </c>
      <c r="D72" s="51">
        <v>7</v>
      </c>
      <c r="E72" s="51">
        <v>200</v>
      </c>
      <c r="F72" s="88">
        <f>M31*7</f>
        <v>155.55555555555554</v>
      </c>
      <c r="G72" s="88">
        <f t="shared" si="16"/>
        <v>187.5</v>
      </c>
      <c r="H72" s="88">
        <f t="shared" si="13"/>
        <v>29166.666666666664</v>
      </c>
      <c r="I72" s="90">
        <f t="shared" si="14"/>
        <v>105</v>
      </c>
      <c r="J72" s="90">
        <f t="shared" si="17"/>
        <v>16333.333333333332</v>
      </c>
      <c r="M72" s="94" t="s">
        <v>170</v>
      </c>
      <c r="N72" s="99">
        <f>H91</f>
        <v>403434.66287079192</v>
      </c>
      <c r="O72" s="97">
        <f t="shared" si="15"/>
        <v>5.7297397441057365</v>
      </c>
    </row>
    <row r="73" spans="1:33" ht="35.25" customHeight="1" x14ac:dyDescent="0.3">
      <c r="A73" s="65" t="s">
        <v>104</v>
      </c>
      <c r="B73" s="84">
        <v>2000000</v>
      </c>
      <c r="C73" s="85">
        <f>1/12*100</f>
        <v>8.3333333333333321</v>
      </c>
      <c r="D73" s="84">
        <v>10</v>
      </c>
      <c r="E73" s="84">
        <v>500</v>
      </c>
      <c r="F73" s="89">
        <f>(M13+M18+M22+M32)*7</f>
        <v>663.07499999999993</v>
      </c>
      <c r="G73" s="89">
        <f t="shared" si="16"/>
        <v>333.33333333333326</v>
      </c>
      <c r="H73" s="89">
        <f t="shared" si="13"/>
        <v>221024.99999999991</v>
      </c>
      <c r="I73" s="85">
        <f t="shared" si="14"/>
        <v>400</v>
      </c>
      <c r="J73" s="85">
        <f t="shared" si="17"/>
        <v>265230</v>
      </c>
      <c r="M73" s="94" t="s">
        <v>171</v>
      </c>
      <c r="N73" s="97">
        <f>J91</f>
        <v>408769.65950886492</v>
      </c>
      <c r="O73" s="97">
        <f t="shared" si="15"/>
        <v>5.8055094909448366</v>
      </c>
    </row>
    <row r="74" spans="1:33" ht="38.25" customHeight="1" x14ac:dyDescent="0.3">
      <c r="A74" s="5" t="s">
        <v>85</v>
      </c>
      <c r="B74" s="51">
        <v>350000</v>
      </c>
      <c r="C74" s="51">
        <v>8.33</v>
      </c>
      <c r="D74" s="51">
        <v>8</v>
      </c>
      <c r="E74" s="51">
        <v>400</v>
      </c>
      <c r="F74" s="88">
        <f>M30*7</f>
        <v>142.85714285714286</v>
      </c>
      <c r="G74" s="88">
        <f t="shared" si="16"/>
        <v>72.887500000000003</v>
      </c>
      <c r="H74" s="88">
        <f t="shared" si="13"/>
        <v>10412.5</v>
      </c>
      <c r="I74" s="90">
        <f t="shared" si="14"/>
        <v>70</v>
      </c>
      <c r="J74" s="90">
        <f t="shared" si="17"/>
        <v>10000</v>
      </c>
      <c r="M74" s="94" t="s">
        <v>178</v>
      </c>
      <c r="N74" s="97">
        <f>L49</f>
        <v>7775.8460999999998</v>
      </c>
      <c r="O74" s="97">
        <f t="shared" si="15"/>
        <v>0.11043566293035353</v>
      </c>
    </row>
    <row r="75" spans="1:33" ht="37.5" customHeight="1" x14ac:dyDescent="0.3">
      <c r="A75" s="5" t="s">
        <v>159</v>
      </c>
      <c r="B75" s="51">
        <v>98000</v>
      </c>
      <c r="C75" s="51">
        <v>8.33</v>
      </c>
      <c r="D75" s="51">
        <v>7</v>
      </c>
      <c r="E75" s="51">
        <v>300</v>
      </c>
      <c r="F75" s="88">
        <f>M25*7</f>
        <v>47.945205479452056</v>
      </c>
      <c r="G75" s="88">
        <f t="shared" si="16"/>
        <v>27.211333333333332</v>
      </c>
      <c r="H75" s="88">
        <f t="shared" si="13"/>
        <v>1304.6529680365297</v>
      </c>
      <c r="I75" s="90">
        <f t="shared" si="14"/>
        <v>22.866666666666667</v>
      </c>
      <c r="J75" s="90">
        <f t="shared" si="17"/>
        <v>1096.3470319634703</v>
      </c>
      <c r="M75" s="94" t="s">
        <v>172</v>
      </c>
      <c r="N75" s="100">
        <f>L53</f>
        <v>15000</v>
      </c>
      <c r="O75" s="97">
        <f t="shared" si="15"/>
        <v>0.21303597353287421</v>
      </c>
    </row>
    <row r="76" spans="1:33" ht="56.25" customHeight="1" x14ac:dyDescent="0.3">
      <c r="A76" s="5" t="s">
        <v>81</v>
      </c>
      <c r="B76" s="51">
        <v>786500</v>
      </c>
      <c r="C76" s="51">
        <v>10</v>
      </c>
      <c r="D76" s="51">
        <v>6</v>
      </c>
      <c r="E76" s="51">
        <v>400</v>
      </c>
      <c r="F76" s="88">
        <f>M24*7</f>
        <v>66.666666666666671</v>
      </c>
      <c r="G76" s="88">
        <f t="shared" si="16"/>
        <v>196.625</v>
      </c>
      <c r="H76" s="88">
        <f t="shared" si="13"/>
        <v>13108.333333333334</v>
      </c>
      <c r="I76" s="90">
        <f t="shared" si="14"/>
        <v>117.97499999999999</v>
      </c>
      <c r="J76" s="90">
        <f t="shared" si="17"/>
        <v>7865</v>
      </c>
      <c r="M76" s="94" t="s">
        <v>173</v>
      </c>
      <c r="N76" s="98">
        <f>SUM(N66:N75)*0.05</f>
        <v>335288.77890451252</v>
      </c>
      <c r="O76" s="97">
        <f t="shared" si="15"/>
        <v>4.7619047619047628</v>
      </c>
    </row>
    <row r="77" spans="1:33" ht="15" customHeight="1" x14ac:dyDescent="0.3">
      <c r="A77" s="5" t="s">
        <v>89</v>
      </c>
      <c r="B77" s="51">
        <v>558000</v>
      </c>
      <c r="C77" s="51">
        <v>10</v>
      </c>
      <c r="D77" s="51">
        <v>7</v>
      </c>
      <c r="E77" s="51">
        <v>400</v>
      </c>
      <c r="F77" s="88">
        <f>M33*7</f>
        <v>116.66666666666667</v>
      </c>
      <c r="G77" s="88">
        <f t="shared" si="16"/>
        <v>139.5</v>
      </c>
      <c r="H77" s="88">
        <f t="shared" si="13"/>
        <v>16275</v>
      </c>
      <c r="I77" s="90">
        <f t="shared" si="14"/>
        <v>97.65</v>
      </c>
      <c r="J77" s="90">
        <f t="shared" si="17"/>
        <v>11392.500000000002</v>
      </c>
      <c r="M77" s="96" t="s">
        <v>118</v>
      </c>
      <c r="N77" s="101">
        <f>SUM(N66:N76)</f>
        <v>7041064.3569947621</v>
      </c>
      <c r="O77" s="102">
        <v>100</v>
      </c>
    </row>
    <row r="78" spans="1:33" ht="50.25" customHeight="1" x14ac:dyDescent="0.3">
      <c r="A78" s="5" t="s">
        <v>160</v>
      </c>
      <c r="B78" s="51">
        <v>300000</v>
      </c>
      <c r="C78" s="51">
        <v>10</v>
      </c>
      <c r="D78" s="51">
        <v>7</v>
      </c>
      <c r="E78" s="51">
        <v>300</v>
      </c>
      <c r="F78" s="88">
        <f>M20*7</f>
        <v>25</v>
      </c>
      <c r="G78" s="88">
        <f t="shared" si="16"/>
        <v>100</v>
      </c>
      <c r="H78" s="88">
        <f t="shared" si="13"/>
        <v>2500</v>
      </c>
      <c r="I78" s="90">
        <f t="shared" si="14"/>
        <v>70</v>
      </c>
      <c r="J78" s="90">
        <f t="shared" si="17"/>
        <v>1750</v>
      </c>
      <c r="M78" s="94" t="s">
        <v>174</v>
      </c>
      <c r="N78" s="98">
        <f>N77/100</f>
        <v>70410.643569947628</v>
      </c>
      <c r="O78" s="98" t="s">
        <v>132</v>
      </c>
    </row>
    <row r="79" spans="1:33" ht="61.5" customHeight="1" x14ac:dyDescent="0.3">
      <c r="A79" s="65" t="s">
        <v>52</v>
      </c>
      <c r="B79" s="84">
        <v>150000</v>
      </c>
      <c r="C79" s="84">
        <f>1/8*100</f>
        <v>12.5</v>
      </c>
      <c r="D79" s="84">
        <v>7</v>
      </c>
      <c r="E79" s="84">
        <v>150</v>
      </c>
      <c r="F79" s="89">
        <f>M11*7</f>
        <v>21.875</v>
      </c>
      <c r="G79" s="89">
        <f t="shared" si="16"/>
        <v>125</v>
      </c>
      <c r="H79" s="89">
        <f t="shared" si="13"/>
        <v>2734.375</v>
      </c>
      <c r="I79" s="85">
        <f t="shared" si="14"/>
        <v>70</v>
      </c>
      <c r="J79" s="85">
        <f t="shared" si="17"/>
        <v>1531.25</v>
      </c>
      <c r="M79" s="94" t="s">
        <v>175</v>
      </c>
      <c r="N79" s="98">
        <f>N77/25000</f>
        <v>281.64257427979049</v>
      </c>
      <c r="O79" s="98" t="s">
        <v>132</v>
      </c>
    </row>
    <row r="80" spans="1:33" ht="15" customHeight="1" x14ac:dyDescent="0.25">
      <c r="A80" s="5" t="s">
        <v>78</v>
      </c>
      <c r="B80" s="51">
        <v>536000</v>
      </c>
      <c r="C80" s="51">
        <v>10</v>
      </c>
      <c r="D80" s="51">
        <v>8</v>
      </c>
      <c r="E80" s="51">
        <v>260</v>
      </c>
      <c r="F80" s="88">
        <f>M19*7</f>
        <v>29.787234042553191</v>
      </c>
      <c r="G80" s="88">
        <f t="shared" si="16"/>
        <v>206.15384615384616</v>
      </c>
      <c r="H80" s="88">
        <f t="shared" si="13"/>
        <v>6140.7528641571198</v>
      </c>
      <c r="I80" s="90">
        <f t="shared" si="14"/>
        <v>164.92307692307693</v>
      </c>
      <c r="J80" s="90">
        <f t="shared" si="17"/>
        <v>4912.6022913256957</v>
      </c>
    </row>
    <row r="81" spans="1:10" ht="15" customHeight="1" x14ac:dyDescent="0.25">
      <c r="A81" s="65" t="s">
        <v>27</v>
      </c>
      <c r="B81" s="84">
        <v>620000</v>
      </c>
      <c r="C81" s="84">
        <f>1/10*100</f>
        <v>10</v>
      </c>
      <c r="D81" s="84">
        <v>10</v>
      </c>
      <c r="E81" s="84">
        <v>1100</v>
      </c>
      <c r="F81" s="89">
        <f>(M17+M25+M28)*7</f>
        <v>89.406743940990523</v>
      </c>
      <c r="G81" s="89">
        <f>B81*C81/100/E81</f>
        <v>56.363636363636367</v>
      </c>
      <c r="H81" s="89">
        <f>G81*F81</f>
        <v>5039.2892039467388</v>
      </c>
      <c r="I81" s="85">
        <f>B81*D81/100/E81</f>
        <v>56.363636363636367</v>
      </c>
      <c r="J81" s="85">
        <f>I81*F81</f>
        <v>5039.2892039467388</v>
      </c>
    </row>
    <row r="82" spans="1:10" ht="15" customHeight="1" x14ac:dyDescent="0.25">
      <c r="A82" s="3" t="s">
        <v>72</v>
      </c>
      <c r="B82" s="51">
        <v>720000</v>
      </c>
      <c r="C82" s="51">
        <v>10</v>
      </c>
      <c r="D82" s="51">
        <v>10</v>
      </c>
      <c r="E82" s="51">
        <v>1300</v>
      </c>
      <c r="F82" s="88">
        <f>7*(M14+M19+M24+M29+M30+M31)</f>
        <v>437.76021614319484</v>
      </c>
      <c r="G82" s="88">
        <f t="shared" ref="G82:G90" si="18">B82*C82/100/E82</f>
        <v>55.384615384615387</v>
      </c>
      <c r="H82" s="88">
        <f t="shared" ref="H82:H90" si="19">G82*F82</f>
        <v>24245.181201776944</v>
      </c>
      <c r="I82" s="90">
        <f t="shared" ref="I82:I90" si="20">B82*D82/100/E82</f>
        <v>55.384615384615387</v>
      </c>
      <c r="J82" s="90">
        <f t="shared" ref="J82:J90" si="21">I82*F82</f>
        <v>24245.181201776944</v>
      </c>
    </row>
    <row r="83" spans="1:10" ht="15" customHeight="1" x14ac:dyDescent="0.25">
      <c r="A83" s="65" t="s">
        <v>86</v>
      </c>
      <c r="B83" s="84">
        <v>340000</v>
      </c>
      <c r="C83" s="84">
        <f>1/10*100</f>
        <v>10</v>
      </c>
      <c r="D83" s="84">
        <v>10</v>
      </c>
      <c r="E83" s="84">
        <v>200</v>
      </c>
      <c r="F83" s="89">
        <f>M29*7</f>
        <v>14.893617021276595</v>
      </c>
      <c r="G83" s="89">
        <f>B83*C83/100/E83</f>
        <v>170</v>
      </c>
      <c r="H83" s="89">
        <f t="shared" si="19"/>
        <v>2531.9148936170213</v>
      </c>
      <c r="I83" s="85">
        <f t="shared" si="20"/>
        <v>170</v>
      </c>
      <c r="J83" s="85">
        <f t="shared" si="21"/>
        <v>2531.9148936170213</v>
      </c>
    </row>
    <row r="84" spans="1:10" ht="15" customHeight="1" x14ac:dyDescent="0.25">
      <c r="A84" s="5" t="s">
        <v>71</v>
      </c>
      <c r="B84" s="51">
        <v>60000</v>
      </c>
      <c r="C84" s="51">
        <v>12.5</v>
      </c>
      <c r="D84" s="51">
        <v>9</v>
      </c>
      <c r="E84" s="51">
        <v>500</v>
      </c>
      <c r="F84" s="88">
        <f>M12*7</f>
        <v>291.66666666666663</v>
      </c>
      <c r="G84" s="88">
        <f t="shared" si="18"/>
        <v>15</v>
      </c>
      <c r="H84" s="88">
        <f t="shared" si="19"/>
        <v>4374.9999999999991</v>
      </c>
      <c r="I84" s="90">
        <f t="shared" si="20"/>
        <v>10.8</v>
      </c>
      <c r="J84" s="90">
        <f t="shared" si="21"/>
        <v>3150</v>
      </c>
    </row>
    <row r="85" spans="1:10" x14ac:dyDescent="0.25">
      <c r="A85" s="5" t="s">
        <v>74</v>
      </c>
      <c r="B85" s="51">
        <v>130000</v>
      </c>
      <c r="C85" s="51">
        <v>12.5</v>
      </c>
      <c r="D85" s="51">
        <v>9</v>
      </c>
      <c r="E85" s="51">
        <v>200</v>
      </c>
      <c r="F85" s="88">
        <f>M15*7</f>
        <v>64.81481481481481</v>
      </c>
      <c r="G85" s="88">
        <f t="shared" si="18"/>
        <v>81.25</v>
      </c>
      <c r="H85" s="88">
        <f t="shared" si="19"/>
        <v>5266.2037037037035</v>
      </c>
      <c r="I85" s="90">
        <f t="shared" si="20"/>
        <v>58.5</v>
      </c>
      <c r="J85" s="90">
        <f t="shared" si="21"/>
        <v>3791.6666666666665</v>
      </c>
    </row>
    <row r="86" spans="1:10" x14ac:dyDescent="0.25">
      <c r="A86" s="5" t="s">
        <v>77</v>
      </c>
      <c r="B86" s="51">
        <v>500000</v>
      </c>
      <c r="C86" s="51">
        <v>12.5</v>
      </c>
      <c r="D86" s="51">
        <v>8</v>
      </c>
      <c r="E86" s="51">
        <v>150</v>
      </c>
      <c r="F86" s="88">
        <f>M17*7</f>
        <v>6.4615384615384617</v>
      </c>
      <c r="G86" s="88">
        <f t="shared" si="18"/>
        <v>416.66666666666669</v>
      </c>
      <c r="H86" s="88">
        <f t="shared" si="19"/>
        <v>2692.3076923076924</v>
      </c>
      <c r="I86" s="90">
        <f t="shared" si="20"/>
        <v>266.66666666666669</v>
      </c>
      <c r="J86" s="90">
        <f t="shared" si="21"/>
        <v>1723.0769230769233</v>
      </c>
    </row>
    <row r="87" spans="1:10" ht="21.75" customHeight="1" x14ac:dyDescent="0.25">
      <c r="A87" s="3" t="s">
        <v>73</v>
      </c>
      <c r="B87" s="51">
        <v>95000</v>
      </c>
      <c r="C87" s="51">
        <v>12.5</v>
      </c>
      <c r="D87" s="51">
        <v>7</v>
      </c>
      <c r="E87" s="51">
        <v>120</v>
      </c>
      <c r="F87" s="88">
        <f>M14*7</f>
        <v>28</v>
      </c>
      <c r="G87" s="88">
        <f t="shared" si="18"/>
        <v>98.958333333333329</v>
      </c>
      <c r="H87" s="88">
        <f t="shared" si="19"/>
        <v>2770.833333333333</v>
      </c>
      <c r="I87" s="90">
        <f t="shared" si="20"/>
        <v>55.416666666666664</v>
      </c>
      <c r="J87" s="90">
        <f t="shared" si="21"/>
        <v>1551.6666666666665</v>
      </c>
    </row>
    <row r="88" spans="1:10" x14ac:dyDescent="0.25">
      <c r="A88" s="65" t="s">
        <v>51</v>
      </c>
      <c r="B88" s="84">
        <v>1000000</v>
      </c>
      <c r="C88" s="84">
        <f>1/10*100</f>
        <v>10</v>
      </c>
      <c r="D88" s="84">
        <v>10</v>
      </c>
      <c r="E88" s="84">
        <v>1000</v>
      </c>
      <c r="F88" s="89">
        <f>(M11+M15)*7</f>
        <v>86.68981481481481</v>
      </c>
      <c r="G88" s="89">
        <f t="shared" si="18"/>
        <v>100</v>
      </c>
      <c r="H88" s="89">
        <f t="shared" si="19"/>
        <v>8668.9814814814818</v>
      </c>
      <c r="I88" s="85">
        <f t="shared" si="20"/>
        <v>100</v>
      </c>
      <c r="J88" s="85">
        <f t="shared" si="21"/>
        <v>8668.9814814814818</v>
      </c>
    </row>
    <row r="89" spans="1:10" x14ac:dyDescent="0.25">
      <c r="A89" s="5" t="s">
        <v>79</v>
      </c>
      <c r="B89" s="51">
        <v>550000</v>
      </c>
      <c r="C89" s="51">
        <v>10</v>
      </c>
      <c r="D89" s="51">
        <v>10</v>
      </c>
      <c r="E89" s="51">
        <v>120</v>
      </c>
      <c r="F89" s="88">
        <f>M20*7</f>
        <v>25</v>
      </c>
      <c r="G89" s="88">
        <f t="shared" si="18"/>
        <v>458.33333333333331</v>
      </c>
      <c r="H89" s="88">
        <f t="shared" si="19"/>
        <v>11458.333333333332</v>
      </c>
      <c r="I89" s="90">
        <f t="shared" si="20"/>
        <v>458.33333333333331</v>
      </c>
      <c r="J89" s="90">
        <f t="shared" si="21"/>
        <v>11458.333333333332</v>
      </c>
    </row>
    <row r="90" spans="1:10" x14ac:dyDescent="0.25">
      <c r="A90" s="5" t="s">
        <v>90</v>
      </c>
      <c r="B90" s="51">
        <v>350000</v>
      </c>
      <c r="C90" s="51">
        <v>10</v>
      </c>
      <c r="D90" s="51">
        <v>10</v>
      </c>
      <c r="E90" s="51">
        <v>160</v>
      </c>
      <c r="F90" s="88">
        <f>M21*7*2</f>
        <v>1.7999999999999998</v>
      </c>
      <c r="G90" s="88">
        <f t="shared" si="18"/>
        <v>218.75</v>
      </c>
      <c r="H90" s="88">
        <f t="shared" si="19"/>
        <v>393.74999999999994</v>
      </c>
      <c r="I90" s="90">
        <f t="shared" si="20"/>
        <v>218.75</v>
      </c>
      <c r="J90" s="90">
        <f t="shared" si="21"/>
        <v>393.74999999999994</v>
      </c>
    </row>
    <row r="91" spans="1:10" ht="15.75" x14ac:dyDescent="0.25">
      <c r="A91" s="82" t="s">
        <v>158</v>
      </c>
      <c r="B91" s="83" t="s">
        <v>132</v>
      </c>
      <c r="C91" s="83" t="s">
        <v>132</v>
      </c>
      <c r="D91" s="83" t="s">
        <v>132</v>
      </c>
      <c r="E91" s="83" t="s">
        <v>132</v>
      </c>
      <c r="F91" s="83" t="s">
        <v>132</v>
      </c>
      <c r="G91" s="88"/>
      <c r="H91" s="88">
        <f t="shared" ref="H91:J91" si="22">SUM(H67:H90)</f>
        <v>403434.66287079192</v>
      </c>
      <c r="I91" s="90"/>
      <c r="J91" s="90">
        <f t="shared" si="22"/>
        <v>408769.65950886492</v>
      </c>
    </row>
    <row r="92" spans="1:10" x14ac:dyDescent="0.25">
      <c r="G92" s="42"/>
      <c r="H92" s="42"/>
    </row>
    <row r="117" spans="32:41" ht="18.75" x14ac:dyDescent="0.25">
      <c r="AF117" s="131"/>
      <c r="AG117" s="131"/>
      <c r="AH117" s="1"/>
      <c r="AI117" s="1"/>
      <c r="AJ117" s="1"/>
      <c r="AK117" s="1"/>
      <c r="AL117" s="1"/>
      <c r="AM117" s="1"/>
      <c r="AN117" s="1"/>
      <c r="AO117" s="1"/>
    </row>
    <row r="118" spans="32:41" ht="18.75" x14ac:dyDescent="0.25">
      <c r="AF118" s="131"/>
      <c r="AG118" s="131"/>
      <c r="AH118" s="1"/>
      <c r="AI118" s="1"/>
      <c r="AJ118" s="1"/>
      <c r="AK118" s="8"/>
      <c r="AL118" s="8"/>
      <c r="AM118" s="8"/>
      <c r="AN118" s="8"/>
      <c r="AO118" s="8"/>
    </row>
    <row r="119" spans="32:41" ht="18.75" x14ac:dyDescent="0.25">
      <c r="AF119" s="131"/>
      <c r="AG119" s="131"/>
      <c r="AH119" s="1"/>
      <c r="AI119" s="1"/>
      <c r="AJ119" s="1"/>
      <c r="AK119" s="8"/>
      <c r="AL119" s="8"/>
      <c r="AM119" s="8"/>
      <c r="AN119" s="8"/>
      <c r="AO119" s="8"/>
    </row>
    <row r="120" spans="32:41" ht="18.75" x14ac:dyDescent="0.25">
      <c r="AF120" s="131"/>
      <c r="AG120" s="131"/>
      <c r="AH120" s="1"/>
      <c r="AI120" s="1"/>
      <c r="AJ120" s="1"/>
      <c r="AK120" s="8"/>
      <c r="AL120" s="8"/>
      <c r="AM120" s="8"/>
      <c r="AN120" s="8"/>
      <c r="AO120" s="8"/>
    </row>
    <row r="121" spans="32:41" ht="18.75" x14ac:dyDescent="0.25">
      <c r="AF121" s="131"/>
      <c r="AG121" s="131"/>
      <c r="AH121" s="1"/>
      <c r="AI121" s="1"/>
      <c r="AJ121" s="1"/>
      <c r="AK121" s="8"/>
      <c r="AL121" s="8"/>
      <c r="AM121" s="8"/>
      <c r="AN121" s="8"/>
      <c r="AO121" s="8"/>
    </row>
    <row r="122" spans="32:41" ht="18.75" x14ac:dyDescent="0.25">
      <c r="AF122" s="131"/>
      <c r="AG122" s="131"/>
      <c r="AH122" s="1"/>
      <c r="AI122" s="1"/>
      <c r="AJ122" s="1"/>
      <c r="AK122" s="8"/>
      <c r="AL122" s="8"/>
      <c r="AM122" s="8"/>
      <c r="AN122" s="8"/>
      <c r="AO122" s="8"/>
    </row>
    <row r="123" spans="32:41" ht="18.75" x14ac:dyDescent="0.25">
      <c r="AF123" s="9"/>
      <c r="AG123" s="9"/>
      <c r="AH123" s="1"/>
      <c r="AI123" s="1"/>
      <c r="AJ123" s="1"/>
      <c r="AK123" s="8"/>
      <c r="AL123" s="8"/>
      <c r="AM123" s="8"/>
      <c r="AN123" s="8"/>
      <c r="AO123" s="8"/>
    </row>
    <row r="124" spans="32:41" ht="18.75" x14ac:dyDescent="0.25">
      <c r="AF124" s="131"/>
      <c r="AG124" s="131"/>
      <c r="AH124" s="1"/>
      <c r="AI124" s="1"/>
      <c r="AJ124" s="1"/>
      <c r="AK124" s="8"/>
      <c r="AL124" s="1"/>
      <c r="AM124" s="1"/>
      <c r="AN124" s="1"/>
      <c r="AO124" s="1"/>
    </row>
    <row r="125" spans="32:41" ht="18.75" x14ac:dyDescent="0.25">
      <c r="AF125" s="131"/>
      <c r="AG125" s="131"/>
      <c r="AH125" s="1"/>
      <c r="AI125" s="1"/>
      <c r="AJ125" s="1"/>
      <c r="AK125" s="8"/>
      <c r="AL125" s="1"/>
      <c r="AM125" s="1"/>
      <c r="AN125" s="1"/>
      <c r="AO125" s="1"/>
    </row>
    <row r="126" spans="32:41" ht="18.75" x14ac:dyDescent="0.25">
      <c r="AF126" s="131"/>
      <c r="AG126" s="131"/>
      <c r="AH126" s="1"/>
      <c r="AI126" s="1"/>
      <c r="AJ126" s="1"/>
      <c r="AK126" s="8"/>
      <c r="AL126" s="1"/>
      <c r="AM126" s="1"/>
      <c r="AN126" s="1"/>
      <c r="AO126" s="1"/>
    </row>
    <row r="127" spans="32:41" ht="18.75" x14ac:dyDescent="0.25">
      <c r="AF127" s="131"/>
      <c r="AG127" s="131"/>
      <c r="AH127" s="1"/>
      <c r="AI127" s="1"/>
      <c r="AJ127" s="1"/>
      <c r="AK127" s="8"/>
      <c r="AL127" s="1"/>
      <c r="AM127" s="1"/>
      <c r="AN127" s="1"/>
      <c r="AO127" s="1"/>
    </row>
    <row r="128" spans="32:41" ht="18.75" x14ac:dyDescent="0.25">
      <c r="AF128" s="131"/>
      <c r="AG128" s="131"/>
      <c r="AH128" s="1"/>
      <c r="AI128" s="1"/>
      <c r="AJ128" s="1"/>
      <c r="AK128" s="8"/>
      <c r="AL128" s="1"/>
      <c r="AM128" s="1"/>
      <c r="AN128" s="1"/>
      <c r="AO128" s="1"/>
    </row>
    <row r="129" spans="32:41" ht="18.75" x14ac:dyDescent="0.25">
      <c r="AF129" s="131"/>
      <c r="AG129" s="131"/>
      <c r="AH129" s="1"/>
      <c r="AI129" s="1"/>
      <c r="AJ129" s="1"/>
      <c r="AK129" s="8"/>
      <c r="AL129" s="1"/>
      <c r="AM129" s="1"/>
      <c r="AN129" s="1"/>
      <c r="AO129" s="1"/>
    </row>
    <row r="130" spans="32:41" ht="18.75" x14ac:dyDescent="0.25">
      <c r="AF130" s="131"/>
      <c r="AG130" s="131"/>
      <c r="AH130" s="1"/>
      <c r="AI130" s="1"/>
      <c r="AJ130" s="1"/>
      <c r="AK130" s="8"/>
      <c r="AL130" s="1"/>
      <c r="AM130" s="1"/>
      <c r="AN130" s="1"/>
      <c r="AO130" s="1"/>
    </row>
    <row r="131" spans="32:41" ht="18.75" x14ac:dyDescent="0.25">
      <c r="AF131" s="131"/>
      <c r="AG131" s="131"/>
      <c r="AH131" s="1"/>
      <c r="AI131" s="1"/>
      <c r="AJ131" s="1"/>
      <c r="AK131" s="8"/>
      <c r="AL131" s="1"/>
      <c r="AM131" s="1"/>
      <c r="AN131" s="1"/>
      <c r="AO131" s="1"/>
    </row>
    <row r="132" spans="32:41" ht="18.75" x14ac:dyDescent="0.25">
      <c r="AF132" s="131"/>
      <c r="AG132" s="131"/>
      <c r="AH132" s="1"/>
      <c r="AI132" s="1"/>
      <c r="AJ132" s="1"/>
      <c r="AK132" s="8"/>
      <c r="AL132" s="1"/>
      <c r="AM132" s="1"/>
      <c r="AN132" s="1"/>
      <c r="AO132" s="1"/>
    </row>
    <row r="133" spans="32:41" ht="18.75" x14ac:dyDescent="0.25">
      <c r="AF133" s="131"/>
      <c r="AG133" s="131"/>
      <c r="AH133" s="1"/>
      <c r="AI133" s="1"/>
      <c r="AJ133" s="1"/>
      <c r="AK133" s="8"/>
      <c r="AL133" s="1"/>
      <c r="AM133" s="1"/>
      <c r="AN133" s="1"/>
      <c r="AO133" s="1"/>
    </row>
    <row r="134" spans="32:41" ht="18.75" x14ac:dyDescent="0.25">
      <c r="AF134" s="131"/>
      <c r="AG134" s="131"/>
      <c r="AH134" s="1"/>
      <c r="AI134" s="1"/>
      <c r="AJ134" s="1"/>
      <c r="AK134" s="8"/>
      <c r="AL134" s="1"/>
      <c r="AM134" s="1"/>
      <c r="AN134" s="1"/>
      <c r="AO134" s="1"/>
    </row>
    <row r="135" spans="32:41" ht="18.75" x14ac:dyDescent="0.25">
      <c r="AF135" s="131"/>
      <c r="AG135" s="131"/>
      <c r="AH135" s="1"/>
      <c r="AI135" s="1"/>
      <c r="AJ135" s="1"/>
      <c r="AK135" s="8"/>
      <c r="AL135" s="1"/>
      <c r="AM135" s="1"/>
      <c r="AN135" s="1"/>
      <c r="AO135" s="1"/>
    </row>
    <row r="136" spans="32:41" ht="18.75" x14ac:dyDescent="0.25">
      <c r="AF136" s="131"/>
      <c r="AG136" s="131"/>
      <c r="AH136" s="1"/>
      <c r="AI136" s="1"/>
      <c r="AJ136" s="1"/>
      <c r="AK136" s="8"/>
      <c r="AL136" s="1"/>
      <c r="AM136" s="1"/>
      <c r="AN136" s="1"/>
      <c r="AO136" s="1"/>
    </row>
    <row r="137" spans="32:41" ht="18.75" x14ac:dyDescent="0.25">
      <c r="AF137" s="131"/>
      <c r="AG137" s="131"/>
      <c r="AH137" s="1"/>
      <c r="AI137" s="1"/>
      <c r="AJ137" s="1"/>
      <c r="AK137" s="8"/>
      <c r="AL137" s="1"/>
      <c r="AM137" s="1"/>
      <c r="AN137" s="1"/>
      <c r="AO137" s="1"/>
    </row>
    <row r="138" spans="32:41" ht="18.75" x14ac:dyDescent="0.25">
      <c r="AF138" s="131"/>
      <c r="AG138" s="131"/>
      <c r="AH138" s="1"/>
      <c r="AI138" s="1"/>
      <c r="AJ138" s="1"/>
      <c r="AK138" s="8"/>
      <c r="AL138" s="1"/>
      <c r="AM138" s="1"/>
      <c r="AN138" s="1"/>
      <c r="AO138" s="1"/>
    </row>
  </sheetData>
  <mergeCells count="229">
    <mergeCell ref="A37:E37"/>
    <mergeCell ref="H37:L37"/>
    <mergeCell ref="AH48:AI48"/>
    <mergeCell ref="AH49:AI49"/>
    <mergeCell ref="W39:X39"/>
    <mergeCell ref="W38:X38"/>
    <mergeCell ref="W41:X41"/>
    <mergeCell ref="W42:X42"/>
    <mergeCell ref="AA51:AB51"/>
    <mergeCell ref="W50:X50"/>
    <mergeCell ref="W51:X51"/>
    <mergeCell ref="AA52:AB52"/>
    <mergeCell ref="AA53:AB53"/>
    <mergeCell ref="AA41:AB41"/>
    <mergeCell ref="AE40:AF40"/>
    <mergeCell ref="AE53:AF53"/>
    <mergeCell ref="AE45:AF45"/>
    <mergeCell ref="AE46:AF46"/>
    <mergeCell ref="AE47:AF47"/>
    <mergeCell ref="AE48:AF48"/>
    <mergeCell ref="AE49:AF49"/>
    <mergeCell ref="AE50:AF50"/>
    <mergeCell ref="AE51:AF51"/>
    <mergeCell ref="AE52:AF52"/>
    <mergeCell ref="AE55:AF55"/>
    <mergeCell ref="AE56:AF56"/>
    <mergeCell ref="AA47:AB47"/>
    <mergeCell ref="AA48:AB48"/>
    <mergeCell ref="AA44:AB44"/>
    <mergeCell ref="AA45:AB45"/>
    <mergeCell ref="AH40:AI40"/>
    <mergeCell ref="AA49:AB49"/>
    <mergeCell ref="AH50:AI50"/>
    <mergeCell ref="AH51:AI51"/>
    <mergeCell ref="AH52:AI52"/>
    <mergeCell ref="AH53:AI53"/>
    <mergeCell ref="AH54:AI54"/>
    <mergeCell ref="AH55:AI55"/>
    <mergeCell ref="AH56:AI56"/>
    <mergeCell ref="AH41:AI41"/>
    <mergeCell ref="AH42:AI42"/>
    <mergeCell ref="AH43:AI43"/>
    <mergeCell ref="AH44:AI44"/>
    <mergeCell ref="AH45:AI45"/>
    <mergeCell ref="AH46:AI46"/>
    <mergeCell ref="AH47:AI47"/>
    <mergeCell ref="AE44:AF44"/>
    <mergeCell ref="AA50:AB50"/>
    <mergeCell ref="AR36:AS36"/>
    <mergeCell ref="AH37:AI37"/>
    <mergeCell ref="AH38:AI38"/>
    <mergeCell ref="AH39:AI39"/>
    <mergeCell ref="AQ30:AQ31"/>
    <mergeCell ref="AR30:AS31"/>
    <mergeCell ref="AO36:AP36"/>
    <mergeCell ref="AE37:AF37"/>
    <mergeCell ref="AE38:AF38"/>
    <mergeCell ref="AE39:AF39"/>
    <mergeCell ref="AO33:AP33"/>
    <mergeCell ref="AO34:AP34"/>
    <mergeCell ref="AF131:AG131"/>
    <mergeCell ref="AF132:AG132"/>
    <mergeCell ref="AO35:AP35"/>
    <mergeCell ref="W52:X52"/>
    <mergeCell ref="AA46:AB46"/>
    <mergeCell ref="W43:X43"/>
    <mergeCell ref="W44:X44"/>
    <mergeCell ref="W45:X45"/>
    <mergeCell ref="W46:X46"/>
    <mergeCell ref="W47:X47"/>
    <mergeCell ref="W48:X48"/>
    <mergeCell ref="AA54:AB54"/>
    <mergeCell ref="AA55:AB55"/>
    <mergeCell ref="AA56:AB56"/>
    <mergeCell ref="AE41:AF41"/>
    <mergeCell ref="AE42:AF42"/>
    <mergeCell ref="AE43:AF43"/>
    <mergeCell ref="W62:X63"/>
    <mergeCell ref="Y62:Y63"/>
    <mergeCell ref="Z62:Z63"/>
    <mergeCell ref="AE54:AF54"/>
    <mergeCell ref="Y67:Z67"/>
    <mergeCell ref="X68:AF68"/>
    <mergeCell ref="X69:AF69"/>
    <mergeCell ref="AF133:AG133"/>
    <mergeCell ref="AF134:AG134"/>
    <mergeCell ref="AF135:AG135"/>
    <mergeCell ref="AK30:AL31"/>
    <mergeCell ref="W53:X53"/>
    <mergeCell ref="W54:X54"/>
    <mergeCell ref="W55:X55"/>
    <mergeCell ref="W56:X56"/>
    <mergeCell ref="AK33:AL33"/>
    <mergeCell ref="AK34:AL34"/>
    <mergeCell ref="AK35:AL35"/>
    <mergeCell ref="AK36:AL36"/>
    <mergeCell ref="AA37:AB37"/>
    <mergeCell ref="AA38:AB38"/>
    <mergeCell ref="AA39:AB39"/>
    <mergeCell ref="AF126:AG126"/>
    <mergeCell ref="AF128:AG128"/>
    <mergeCell ref="AF129:AG129"/>
    <mergeCell ref="AF130:AG130"/>
    <mergeCell ref="W49:X49"/>
    <mergeCell ref="AA42:AB42"/>
    <mergeCell ref="AA43:AB43"/>
    <mergeCell ref="X70:AF70"/>
    <mergeCell ref="AC62:AC63"/>
    <mergeCell ref="AS24:AT24"/>
    <mergeCell ref="O37:S37"/>
    <mergeCell ref="O38:S38"/>
    <mergeCell ref="AM30:AM31"/>
    <mergeCell ref="AN30:AN31"/>
    <mergeCell ref="AF29:AF31"/>
    <mergeCell ref="AG29:AH31"/>
    <mergeCell ref="AI30:AI31"/>
    <mergeCell ref="AJ30:AJ31"/>
    <mergeCell ref="AN29:AP29"/>
    <mergeCell ref="AK29:AM29"/>
    <mergeCell ref="AI29:AJ29"/>
    <mergeCell ref="AQ29:AS29"/>
    <mergeCell ref="AG32:AS32"/>
    <mergeCell ref="AG33:AH33"/>
    <mergeCell ref="AG34:AH34"/>
    <mergeCell ref="AG35:AH35"/>
    <mergeCell ref="AG36:AH36"/>
    <mergeCell ref="W37:X37"/>
    <mergeCell ref="U36:AC36"/>
    <mergeCell ref="AO30:AP31"/>
    <mergeCell ref="AR33:AS33"/>
    <mergeCell ref="AR34:AS34"/>
    <mergeCell ref="AR35:AS35"/>
    <mergeCell ref="AF136:AG136"/>
    <mergeCell ref="AF137:AG137"/>
    <mergeCell ref="AF138:AG138"/>
    <mergeCell ref="AF127:AG127"/>
    <mergeCell ref="AF1:AR1"/>
    <mergeCell ref="AL7:AM7"/>
    <mergeCell ref="AN7:AN8"/>
    <mergeCell ref="AO7:AP7"/>
    <mergeCell ref="AQ7:AQ8"/>
    <mergeCell ref="AR7:AR8"/>
    <mergeCell ref="AE24:AF24"/>
    <mergeCell ref="AK24:AM24"/>
    <mergeCell ref="AF117:AG117"/>
    <mergeCell ref="AF118:AG118"/>
    <mergeCell ref="AF119:AG119"/>
    <mergeCell ref="AF120:AG120"/>
    <mergeCell ref="AF121:AG121"/>
    <mergeCell ref="AF122:AG122"/>
    <mergeCell ref="AF124:AG124"/>
    <mergeCell ref="AF125:AG125"/>
    <mergeCell ref="AF7:AF8"/>
    <mergeCell ref="AG7:AI7"/>
    <mergeCell ref="AJ7:AJ8"/>
    <mergeCell ref="AK7:AK8"/>
    <mergeCell ref="AS7:AT7"/>
    <mergeCell ref="AL14:AL15"/>
    <mergeCell ref="AM14:AM15"/>
    <mergeCell ref="A1:AC1"/>
    <mergeCell ref="V8:V9"/>
    <mergeCell ref="W8:W9"/>
    <mergeCell ref="V7:W7"/>
    <mergeCell ref="X8:X9"/>
    <mergeCell ref="Y8:Y9"/>
    <mergeCell ref="X7:Y7"/>
    <mergeCell ref="R8:R9"/>
    <mergeCell ref="S8:S9"/>
    <mergeCell ref="R7:S7"/>
    <mergeCell ref="T8:T9"/>
    <mergeCell ref="U8:U9"/>
    <mergeCell ref="L7:L9"/>
    <mergeCell ref="M7:M9"/>
    <mergeCell ref="T7:U7"/>
    <mergeCell ref="J7:K7"/>
    <mergeCell ref="B7:B9"/>
    <mergeCell ref="C8:C9"/>
    <mergeCell ref="D8:D9"/>
    <mergeCell ref="E8:E9"/>
    <mergeCell ref="F8:F9"/>
    <mergeCell ref="AJ14:AJ15"/>
    <mergeCell ref="AK14:AK15"/>
    <mergeCell ref="K8:K9"/>
    <mergeCell ref="AB7:AB9"/>
    <mergeCell ref="AC7:AC9"/>
    <mergeCell ref="N8:N9"/>
    <mergeCell ref="O8:O9"/>
    <mergeCell ref="AE7:AE8"/>
    <mergeCell ref="P8:P9"/>
    <mergeCell ref="Q8:Q9"/>
    <mergeCell ref="P7:Q7"/>
    <mergeCell ref="AA7:AA9"/>
    <mergeCell ref="Z7:Z9"/>
    <mergeCell ref="A7:A9"/>
    <mergeCell ref="P2:R2"/>
    <mergeCell ref="P3:R3"/>
    <mergeCell ref="P4:R4"/>
    <mergeCell ref="P5:R5"/>
    <mergeCell ref="S2:U2"/>
    <mergeCell ref="S3:U3"/>
    <mergeCell ref="S4:U4"/>
    <mergeCell ref="S5:U5"/>
    <mergeCell ref="L2:O2"/>
    <mergeCell ref="L5:O5"/>
    <mergeCell ref="L3:O3"/>
    <mergeCell ref="L4:O4"/>
    <mergeCell ref="H8:I8"/>
    <mergeCell ref="G8:G9"/>
    <mergeCell ref="E7:F7"/>
    <mergeCell ref="C7:D7"/>
    <mergeCell ref="G7:I7"/>
    <mergeCell ref="J8:J9"/>
    <mergeCell ref="N7:O7"/>
    <mergeCell ref="A64:J64"/>
    <mergeCell ref="A65:A66"/>
    <mergeCell ref="B65:B66"/>
    <mergeCell ref="C65:D65"/>
    <mergeCell ref="E65:F65"/>
    <mergeCell ref="G65:H65"/>
    <mergeCell ref="I65:J65"/>
    <mergeCell ref="AD62:AD63"/>
    <mergeCell ref="AE62:AE63"/>
    <mergeCell ref="X64:Y64"/>
    <mergeCell ref="X65:Y65"/>
    <mergeCell ref="X66:Y66"/>
    <mergeCell ref="V62:V63"/>
    <mergeCell ref="AA62:AA63"/>
    <mergeCell ref="AB62:AB63"/>
    <mergeCell ref="M64:O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3" sqref="B2:B6"/>
    </sheetView>
  </sheetViews>
  <sheetFormatPr defaultRowHeight="15" x14ac:dyDescent="0.25"/>
  <sheetData>
    <row r="1" spans="1:2" x14ac:dyDescent="0.25">
      <c r="A1" t="s">
        <v>94</v>
      </c>
      <c r="B1" t="s">
        <v>95</v>
      </c>
    </row>
    <row r="2" spans="1:2" x14ac:dyDescent="0.25">
      <c r="A2" s="34">
        <v>1</v>
      </c>
      <c r="B2" s="42">
        <f>15500/22</f>
        <v>704.5454545454545</v>
      </c>
    </row>
    <row r="3" spans="1:2" x14ac:dyDescent="0.25">
      <c r="A3" s="33">
        <v>2</v>
      </c>
      <c r="B3" s="42">
        <f>B2*1.11</f>
        <v>782.04545454545462</v>
      </c>
    </row>
    <row r="4" spans="1:2" x14ac:dyDescent="0.25">
      <c r="A4" s="33">
        <v>3</v>
      </c>
      <c r="B4" s="42">
        <f>B3*1.11</f>
        <v>868.07045454545471</v>
      </c>
    </row>
    <row r="5" spans="1:2" x14ac:dyDescent="0.25">
      <c r="A5" s="33">
        <v>4</v>
      </c>
      <c r="B5" s="42">
        <f t="shared" ref="B5:B7" si="0">B4*1.11</f>
        <v>963.55820454545483</v>
      </c>
    </row>
    <row r="6" spans="1:2" x14ac:dyDescent="0.25">
      <c r="A6" s="33">
        <v>5</v>
      </c>
      <c r="B6" s="42">
        <f t="shared" si="0"/>
        <v>1069.5496070454549</v>
      </c>
    </row>
    <row r="7" spans="1:2" x14ac:dyDescent="0.25">
      <c r="A7" s="33">
        <v>6</v>
      </c>
      <c r="B7">
        <f t="shared" si="0"/>
        <v>1187.2000638204549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39"/>
  <sheetViews>
    <sheetView topLeftCell="A4" zoomScale="85" zoomScaleNormal="85" workbookViewId="0">
      <selection activeCell="D13" sqref="D13"/>
    </sheetView>
  </sheetViews>
  <sheetFormatPr defaultRowHeight="15" x14ac:dyDescent="0.25"/>
  <cols>
    <col min="1" max="1" width="13.5703125" customWidth="1"/>
    <col min="2" max="2" width="24.85546875" customWidth="1"/>
    <col min="3" max="3" width="12.140625" customWidth="1"/>
    <col min="4" max="4" width="12" customWidth="1"/>
    <col min="5" max="5" width="14.7109375" customWidth="1"/>
    <col min="6" max="6" width="10.28515625" customWidth="1"/>
    <col min="7" max="7" width="12.5703125" customWidth="1"/>
    <col min="8" max="8" width="13.28515625" customWidth="1"/>
    <col min="9" max="9" width="16.42578125" customWidth="1"/>
    <col min="10" max="10" width="13" customWidth="1"/>
    <col min="11" max="11" width="12.28515625" customWidth="1"/>
    <col min="12" max="12" width="17.5703125" bestFit="1" customWidth="1"/>
    <col min="13" max="13" width="20.140625" customWidth="1"/>
    <col min="14" max="14" width="17.5703125" customWidth="1"/>
    <col min="15" max="15" width="18.42578125" customWidth="1"/>
    <col min="16" max="16" width="12.28515625" customWidth="1"/>
    <col min="17" max="17" width="12" customWidth="1"/>
    <col min="18" max="18" width="17.140625" customWidth="1"/>
    <col min="19" max="19" width="19.7109375" customWidth="1"/>
    <col min="20" max="20" width="20.42578125" customWidth="1"/>
    <col min="21" max="21" width="11.85546875" customWidth="1"/>
    <col min="22" max="22" width="10.28515625" bestFit="1" customWidth="1"/>
    <col min="23" max="23" width="11.5703125" customWidth="1"/>
    <col min="24" max="24" width="9" customWidth="1"/>
    <col min="25" max="25" width="10.28515625" customWidth="1"/>
    <col min="26" max="26" width="9.28515625" customWidth="1"/>
    <col min="27" max="27" width="11.28515625" customWidth="1"/>
    <col min="28" max="28" width="12.7109375" customWidth="1"/>
    <col min="29" max="29" width="10.85546875" customWidth="1"/>
    <col min="30" max="30" width="9.140625" customWidth="1"/>
    <col min="31" max="31" width="4.140625" customWidth="1"/>
    <col min="32" max="32" width="48.42578125" customWidth="1"/>
    <col min="33" max="34" width="11.7109375" customWidth="1"/>
    <col min="35" max="35" width="11.5703125" customWidth="1"/>
    <col min="36" max="36" width="21.85546875" customWidth="1"/>
    <col min="39" max="39" width="15.5703125" customWidth="1"/>
    <col min="40" max="40" width="27.85546875" customWidth="1"/>
    <col min="42" max="42" width="11" customWidth="1"/>
    <col min="43" max="43" width="27" customWidth="1"/>
    <col min="44" max="44" width="11.7109375" customWidth="1"/>
    <col min="45" max="45" width="10.28515625" customWidth="1"/>
    <col min="46" max="46" width="13.5703125" customWidth="1"/>
  </cols>
  <sheetData>
    <row r="1" spans="1:46" ht="21" x14ac:dyDescent="0.35">
      <c r="A1" s="128" t="s">
        <v>25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</row>
    <row r="2" spans="1:46" ht="21" x14ac:dyDescent="0.35">
      <c r="A2" s="4"/>
      <c r="B2" s="10" t="s">
        <v>64</v>
      </c>
      <c r="C2" s="4"/>
      <c r="D2" s="4"/>
      <c r="E2" s="4"/>
      <c r="F2" s="4"/>
      <c r="G2" s="4"/>
      <c r="H2" s="4"/>
      <c r="I2" s="4"/>
      <c r="J2" s="4"/>
      <c r="K2" s="4"/>
      <c r="L2" s="111" t="s">
        <v>43</v>
      </c>
      <c r="M2" s="111"/>
      <c r="N2" s="111"/>
      <c r="O2" s="111"/>
      <c r="P2" s="111" t="s">
        <v>44</v>
      </c>
      <c r="Q2" s="111"/>
      <c r="R2" s="111"/>
      <c r="S2" s="112" t="s">
        <v>45</v>
      </c>
      <c r="T2" s="112"/>
      <c r="U2" s="112"/>
      <c r="V2" s="4"/>
      <c r="W2" s="4"/>
      <c r="X2" s="4"/>
      <c r="Y2" s="4"/>
      <c r="Z2" s="4"/>
      <c r="AA2" s="4"/>
      <c r="AB2" s="4"/>
      <c r="AC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6" ht="21" x14ac:dyDescent="0.35">
      <c r="A3" s="4"/>
      <c r="B3" s="10" t="s">
        <v>65</v>
      </c>
      <c r="C3" s="4"/>
      <c r="D3" s="4"/>
      <c r="E3" s="4"/>
      <c r="F3" s="4"/>
      <c r="G3" s="4"/>
      <c r="H3" s="4"/>
      <c r="I3" s="4"/>
      <c r="J3" s="4"/>
      <c r="K3" s="4"/>
      <c r="L3" s="111" t="s">
        <v>46</v>
      </c>
      <c r="M3" s="111"/>
      <c r="N3" s="111"/>
      <c r="O3" s="111"/>
      <c r="P3" s="111">
        <v>250</v>
      </c>
      <c r="Q3" s="111"/>
      <c r="R3" s="111"/>
      <c r="S3" s="112" t="s">
        <v>91</v>
      </c>
      <c r="T3" s="112"/>
      <c r="U3" s="112"/>
      <c r="V3" s="4"/>
      <c r="W3" s="4"/>
      <c r="X3" s="4"/>
      <c r="Y3" s="4"/>
      <c r="Z3" s="4"/>
      <c r="AA3" s="4"/>
      <c r="AB3" s="4"/>
      <c r="AC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6" ht="21" x14ac:dyDescent="0.35">
      <c r="A4" s="4"/>
      <c r="B4" s="10" t="s">
        <v>66</v>
      </c>
      <c r="C4" s="4"/>
      <c r="D4" s="4"/>
      <c r="E4" s="4"/>
      <c r="F4" s="4"/>
      <c r="G4" s="4"/>
      <c r="H4" s="4"/>
      <c r="I4" s="4"/>
      <c r="J4" s="4"/>
      <c r="K4" s="4"/>
      <c r="L4" s="111" t="s">
        <v>47</v>
      </c>
      <c r="M4" s="111"/>
      <c r="N4" s="111"/>
      <c r="O4" s="111"/>
      <c r="P4" s="111" t="s">
        <v>49</v>
      </c>
      <c r="Q4" s="111"/>
      <c r="R4" s="111"/>
      <c r="S4" s="112" t="s">
        <v>49</v>
      </c>
      <c r="T4" s="112"/>
      <c r="U4" s="112"/>
      <c r="V4" s="4"/>
      <c r="W4" s="4"/>
      <c r="X4" s="4"/>
      <c r="Y4" s="4"/>
      <c r="Z4" s="4"/>
      <c r="AA4" s="4"/>
      <c r="AB4" s="4"/>
      <c r="AC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6" ht="21" x14ac:dyDescent="0.35">
      <c r="A5" s="4"/>
      <c r="B5" s="10" t="s">
        <v>185</v>
      </c>
      <c r="C5" s="10">
        <v>100</v>
      </c>
      <c r="D5" s="4"/>
      <c r="E5" s="4"/>
      <c r="F5" s="4"/>
      <c r="G5" s="4"/>
      <c r="H5" s="4"/>
      <c r="I5" s="4"/>
      <c r="J5" s="4"/>
      <c r="K5" s="4"/>
      <c r="L5" s="111" t="s">
        <v>48</v>
      </c>
      <c r="M5" s="111"/>
      <c r="N5" s="111"/>
      <c r="O5" s="111"/>
      <c r="P5" s="111" t="s">
        <v>49</v>
      </c>
      <c r="Q5" s="111"/>
      <c r="R5" s="111"/>
      <c r="S5" s="112" t="s">
        <v>67</v>
      </c>
      <c r="T5" s="112"/>
      <c r="U5" s="112"/>
      <c r="V5" s="4"/>
      <c r="W5" s="4"/>
      <c r="X5" s="11" t="s">
        <v>68</v>
      </c>
      <c r="Y5" s="11"/>
      <c r="Z5" s="11"/>
      <c r="AA5" s="4"/>
      <c r="AB5" s="4"/>
      <c r="AC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7" spans="1:46" ht="27.75" customHeight="1" x14ac:dyDescent="0.25">
      <c r="A7" s="108" t="s">
        <v>24</v>
      </c>
      <c r="B7" s="117" t="s">
        <v>0</v>
      </c>
      <c r="C7" s="117" t="s">
        <v>1</v>
      </c>
      <c r="D7" s="117"/>
      <c r="E7" s="115" t="s">
        <v>4</v>
      </c>
      <c r="F7" s="115"/>
      <c r="G7" s="117" t="s">
        <v>7</v>
      </c>
      <c r="H7" s="117"/>
      <c r="I7" s="117"/>
      <c r="J7" s="117" t="s">
        <v>11</v>
      </c>
      <c r="K7" s="117"/>
      <c r="L7" s="118" t="s">
        <v>14</v>
      </c>
      <c r="M7" s="118" t="s">
        <v>15</v>
      </c>
      <c r="N7" s="119" t="s">
        <v>107</v>
      </c>
      <c r="O7" s="120"/>
      <c r="P7" s="118" t="s">
        <v>17</v>
      </c>
      <c r="Q7" s="118"/>
      <c r="R7" s="129" t="s">
        <v>18</v>
      </c>
      <c r="S7" s="129"/>
      <c r="T7" s="129" t="s">
        <v>19</v>
      </c>
      <c r="U7" s="129"/>
      <c r="V7" s="129" t="s">
        <v>20</v>
      </c>
      <c r="W7" s="129"/>
      <c r="X7" s="129" t="s">
        <v>21</v>
      </c>
      <c r="Y7" s="129"/>
      <c r="Z7" s="125" t="s">
        <v>97</v>
      </c>
      <c r="AA7" s="125" t="s">
        <v>98</v>
      </c>
      <c r="AB7" s="123" t="s">
        <v>22</v>
      </c>
      <c r="AC7" s="123" t="s">
        <v>23</v>
      </c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</row>
    <row r="8" spans="1:46" ht="56.25" customHeight="1" x14ac:dyDescent="0.25">
      <c r="A8" s="109"/>
      <c r="B8" s="117"/>
      <c r="C8" s="118" t="s">
        <v>2</v>
      </c>
      <c r="D8" s="117" t="s">
        <v>3</v>
      </c>
      <c r="E8" s="117" t="s">
        <v>5</v>
      </c>
      <c r="F8" s="117" t="s">
        <v>6</v>
      </c>
      <c r="G8" s="115" t="s">
        <v>8</v>
      </c>
      <c r="H8" s="113" t="s">
        <v>9</v>
      </c>
      <c r="I8" s="114"/>
      <c r="J8" s="118" t="s">
        <v>12</v>
      </c>
      <c r="K8" s="118" t="s">
        <v>13</v>
      </c>
      <c r="L8" s="118"/>
      <c r="M8" s="118"/>
      <c r="N8" s="108" t="s">
        <v>50</v>
      </c>
      <c r="O8" s="118" t="s">
        <v>13</v>
      </c>
      <c r="P8" s="118" t="s">
        <v>16</v>
      </c>
      <c r="Q8" s="118" t="s">
        <v>13</v>
      </c>
      <c r="R8" s="129" t="s">
        <v>16</v>
      </c>
      <c r="S8" s="129" t="s">
        <v>13</v>
      </c>
      <c r="T8" s="129" t="s">
        <v>16</v>
      </c>
      <c r="U8" s="129" t="s">
        <v>13</v>
      </c>
      <c r="V8" s="129" t="s">
        <v>16</v>
      </c>
      <c r="W8" s="129" t="s">
        <v>13</v>
      </c>
      <c r="X8" s="129" t="s">
        <v>99</v>
      </c>
      <c r="Y8" s="129" t="s">
        <v>96</v>
      </c>
      <c r="Z8" s="126"/>
      <c r="AA8" s="126"/>
      <c r="AB8" s="123"/>
      <c r="AC8" s="123"/>
      <c r="AE8" s="106"/>
      <c r="AF8" s="106"/>
      <c r="AG8" s="22"/>
      <c r="AH8" s="22"/>
      <c r="AI8" s="22"/>
      <c r="AJ8" s="106"/>
      <c r="AK8" s="106"/>
      <c r="AL8" s="22"/>
      <c r="AM8" s="22"/>
      <c r="AN8" s="106"/>
      <c r="AO8" s="22"/>
      <c r="AP8" s="22"/>
      <c r="AQ8" s="106"/>
      <c r="AR8" s="106"/>
      <c r="AS8" s="22"/>
      <c r="AT8" s="22"/>
    </row>
    <row r="9" spans="1:46" x14ac:dyDescent="0.25">
      <c r="A9" s="110"/>
      <c r="B9" s="130"/>
      <c r="C9" s="108"/>
      <c r="D9" s="130"/>
      <c r="E9" s="130"/>
      <c r="F9" s="130"/>
      <c r="G9" s="116"/>
      <c r="H9" s="12" t="s">
        <v>10</v>
      </c>
      <c r="I9" s="12" t="s">
        <v>3</v>
      </c>
      <c r="J9" s="108"/>
      <c r="K9" s="108"/>
      <c r="L9" s="108"/>
      <c r="M9" s="108"/>
      <c r="N9" s="110"/>
      <c r="O9" s="108"/>
      <c r="P9" s="108"/>
      <c r="Q9" s="108"/>
      <c r="R9" s="125"/>
      <c r="S9" s="125"/>
      <c r="T9" s="125"/>
      <c r="U9" s="125"/>
      <c r="V9" s="125"/>
      <c r="W9" s="125"/>
      <c r="X9" s="125"/>
      <c r="Y9" s="125"/>
      <c r="Z9" s="127"/>
      <c r="AA9" s="127"/>
      <c r="AB9" s="124"/>
      <c r="AC9" s="124"/>
      <c r="AE9" s="1"/>
      <c r="AF9" s="23"/>
      <c r="AG9" s="8"/>
      <c r="AH9" s="8"/>
      <c r="AI9" s="8"/>
      <c r="AK9" s="8"/>
      <c r="AL9" s="8"/>
      <c r="AM9" s="8"/>
      <c r="AN9" s="24"/>
      <c r="AO9" s="8"/>
      <c r="AP9" s="8"/>
      <c r="AQ9" s="23"/>
      <c r="AR9" s="8"/>
      <c r="AS9" s="8"/>
      <c r="AT9" s="8"/>
    </row>
    <row r="10" spans="1:46" x14ac:dyDescent="0.25">
      <c r="A10" s="15"/>
      <c r="B10" s="12">
        <v>1</v>
      </c>
      <c r="C10" s="13">
        <v>2</v>
      </c>
      <c r="D10" s="12">
        <v>3</v>
      </c>
      <c r="E10" s="12">
        <v>4</v>
      </c>
      <c r="F10" s="12">
        <v>5</v>
      </c>
      <c r="G10" s="14">
        <v>6</v>
      </c>
      <c r="H10" s="12">
        <v>7</v>
      </c>
      <c r="I10" s="12">
        <v>8</v>
      </c>
      <c r="J10" s="13">
        <v>9</v>
      </c>
      <c r="K10" s="13">
        <v>10</v>
      </c>
      <c r="L10" s="13">
        <v>11</v>
      </c>
      <c r="M10" s="13">
        <v>12</v>
      </c>
      <c r="N10" s="13">
        <v>13</v>
      </c>
      <c r="O10" s="13">
        <v>14</v>
      </c>
      <c r="P10" s="13">
        <v>15</v>
      </c>
      <c r="Q10" s="13">
        <v>16</v>
      </c>
      <c r="R10" s="35">
        <v>17</v>
      </c>
      <c r="S10" s="35">
        <v>18</v>
      </c>
      <c r="T10" s="35">
        <v>19</v>
      </c>
      <c r="U10" s="35">
        <v>20</v>
      </c>
      <c r="V10" s="35">
        <v>21</v>
      </c>
      <c r="W10" s="35">
        <v>22</v>
      </c>
      <c r="X10" s="35">
        <v>23</v>
      </c>
      <c r="Y10" s="35">
        <v>24</v>
      </c>
      <c r="Z10" s="38">
        <v>25</v>
      </c>
      <c r="AA10" s="36">
        <v>26</v>
      </c>
      <c r="AB10" s="37">
        <v>27</v>
      </c>
      <c r="AC10" s="37">
        <v>28</v>
      </c>
      <c r="AE10" s="1"/>
      <c r="AF10" s="23"/>
      <c r="AG10" s="8"/>
      <c r="AH10" s="8"/>
      <c r="AI10" s="8"/>
      <c r="AK10" s="8"/>
      <c r="AL10" s="8"/>
      <c r="AM10" s="8"/>
      <c r="AN10" s="25"/>
      <c r="AO10" s="8"/>
      <c r="AP10" s="8"/>
      <c r="AQ10" s="23"/>
      <c r="AR10" s="8"/>
      <c r="AS10" s="8"/>
      <c r="AT10" s="8"/>
    </row>
    <row r="11" spans="1:46" x14ac:dyDescent="0.25">
      <c r="A11" s="5">
        <v>1</v>
      </c>
      <c r="B11" s="6" t="s">
        <v>34</v>
      </c>
      <c r="C11" s="5" t="s">
        <v>26</v>
      </c>
      <c r="D11" s="5">
        <f>$C$5</f>
        <v>100</v>
      </c>
      <c r="E11" s="5" t="s">
        <v>30</v>
      </c>
      <c r="F11" s="16">
        <f>M11</f>
        <v>3.125</v>
      </c>
      <c r="G11" s="5" t="s">
        <v>51</v>
      </c>
      <c r="H11" s="5" t="s">
        <v>52</v>
      </c>
      <c r="I11" s="5">
        <v>1</v>
      </c>
      <c r="J11" s="5">
        <v>1</v>
      </c>
      <c r="K11" s="17" t="s">
        <v>29</v>
      </c>
      <c r="L11" s="5">
        <v>32</v>
      </c>
      <c r="M11" s="7">
        <f>D11/L11</f>
        <v>3.125</v>
      </c>
      <c r="N11" s="7">
        <f>M11*J11</f>
        <v>3.125</v>
      </c>
      <c r="O11" s="7" t="s">
        <v>29</v>
      </c>
      <c r="P11" s="5" t="s">
        <v>32</v>
      </c>
      <c r="Q11" s="5" t="s">
        <v>29</v>
      </c>
      <c r="R11" s="7">
        <f>'Тарифная ставка по разряду Про.'!B6</f>
        <v>1000.5464065909097</v>
      </c>
      <c r="S11" s="5" t="s">
        <v>29</v>
      </c>
      <c r="T11" s="7">
        <f t="shared" ref="T11:T26" si="0">R11*N11</f>
        <v>3126.7075205965925</v>
      </c>
      <c r="U11" s="7" t="s">
        <v>29</v>
      </c>
      <c r="V11" s="7">
        <f>T11*0.25</f>
        <v>781.67688014914813</v>
      </c>
      <c r="W11" s="7" t="s">
        <v>29</v>
      </c>
      <c r="X11" s="44">
        <v>5.8</v>
      </c>
      <c r="Y11" s="44">
        <f t="shared" ref="Y11:Y32" si="1">X11*D11</f>
        <v>580</v>
      </c>
      <c r="Z11" s="7"/>
      <c r="AA11" s="7"/>
      <c r="AB11" s="7">
        <v>11.6</v>
      </c>
      <c r="AC11" s="7">
        <f>AB11*N11</f>
        <v>36.25</v>
      </c>
      <c r="AE11" s="1"/>
      <c r="AF11" s="23"/>
      <c r="AG11" s="8"/>
      <c r="AH11" s="8"/>
      <c r="AI11" s="8"/>
      <c r="AK11" s="8"/>
      <c r="AL11" s="8"/>
      <c r="AM11" s="8"/>
      <c r="AN11" s="25"/>
      <c r="AO11" s="8"/>
      <c r="AP11" s="8"/>
      <c r="AQ11" s="23"/>
      <c r="AR11" s="8"/>
      <c r="AS11" s="8"/>
      <c r="AT11" s="8"/>
    </row>
    <row r="12" spans="1:46" x14ac:dyDescent="0.25">
      <c r="A12" s="5">
        <v>2</v>
      </c>
      <c r="B12" s="6" t="s">
        <v>53</v>
      </c>
      <c r="C12" s="5" t="s">
        <v>28</v>
      </c>
      <c r="D12" s="5">
        <v>5000</v>
      </c>
      <c r="E12" s="5" t="s">
        <v>69</v>
      </c>
      <c r="F12" s="16">
        <f t="shared" ref="F12:F34" si="2">M12</f>
        <v>41.666666666666664</v>
      </c>
      <c r="G12" s="5" t="s">
        <v>70</v>
      </c>
      <c r="H12" s="5" t="s">
        <v>71</v>
      </c>
      <c r="I12" s="5">
        <v>1</v>
      </c>
      <c r="J12" s="5">
        <v>1</v>
      </c>
      <c r="K12" s="17" t="s">
        <v>29</v>
      </c>
      <c r="L12" s="5">
        <v>120</v>
      </c>
      <c r="M12" s="7">
        <f>D12/L12</f>
        <v>41.666666666666664</v>
      </c>
      <c r="N12" s="7">
        <f t="shared" ref="N12:N34" si="3">M12*J12</f>
        <v>41.666666666666664</v>
      </c>
      <c r="O12" s="7" t="s">
        <v>29</v>
      </c>
      <c r="P12" s="5" t="s">
        <v>32</v>
      </c>
      <c r="Q12" s="5" t="s">
        <v>29</v>
      </c>
      <c r="R12" s="7">
        <f>'Тарифная ставка по разряду Про.'!B6</f>
        <v>1000.5464065909097</v>
      </c>
      <c r="S12" s="5" t="s">
        <v>29</v>
      </c>
      <c r="T12" s="7">
        <f t="shared" si="0"/>
        <v>41689.433607954568</v>
      </c>
      <c r="U12" s="7" t="s">
        <v>29</v>
      </c>
      <c r="V12" s="7">
        <f>T12*0.15</f>
        <v>6253.4150411931851</v>
      </c>
      <c r="W12" s="7" t="s">
        <v>29</v>
      </c>
      <c r="X12" s="44">
        <v>0.12</v>
      </c>
      <c r="Y12" s="44">
        <f t="shared" si="1"/>
        <v>600</v>
      </c>
      <c r="Z12" s="7"/>
      <c r="AA12" s="7"/>
      <c r="AB12" s="7">
        <v>7</v>
      </c>
      <c r="AC12" s="7">
        <f>AB12*N12</f>
        <v>291.66666666666663</v>
      </c>
      <c r="AE12" s="22"/>
      <c r="AF12" s="26"/>
      <c r="AG12" s="27"/>
      <c r="AH12" s="27"/>
      <c r="AI12" s="27"/>
      <c r="AJ12" s="28"/>
      <c r="AK12" s="27"/>
      <c r="AL12" s="27"/>
      <c r="AM12" s="27"/>
      <c r="AN12" s="28"/>
      <c r="AO12" s="27"/>
      <c r="AP12" s="27"/>
      <c r="AQ12" s="26"/>
      <c r="AR12" s="27"/>
      <c r="AS12" s="27"/>
      <c r="AT12" s="27"/>
    </row>
    <row r="13" spans="1:46" s="63" customFormat="1" x14ac:dyDescent="0.25">
      <c r="A13" s="62">
        <v>3</v>
      </c>
      <c r="B13" s="66" t="s">
        <v>102</v>
      </c>
      <c r="C13" s="62" t="s">
        <v>28</v>
      </c>
      <c r="D13" s="62">
        <v>5000</v>
      </c>
      <c r="E13" s="62" t="s">
        <v>69</v>
      </c>
      <c r="F13" s="67">
        <f t="shared" si="2"/>
        <v>62.5</v>
      </c>
      <c r="G13" s="62" t="s">
        <v>104</v>
      </c>
      <c r="H13" s="62" t="s">
        <v>105</v>
      </c>
      <c r="I13" s="62">
        <v>1</v>
      </c>
      <c r="J13" s="62">
        <v>1</v>
      </c>
      <c r="K13" s="74"/>
      <c r="L13" s="62">
        <v>80</v>
      </c>
      <c r="M13" s="68">
        <f>D13/L13</f>
        <v>62.5</v>
      </c>
      <c r="N13" s="68">
        <f t="shared" si="3"/>
        <v>62.5</v>
      </c>
      <c r="O13" s="68"/>
      <c r="P13" s="62" t="s">
        <v>32</v>
      </c>
      <c r="Q13" s="62"/>
      <c r="R13" s="68">
        <v>1000.5464065909097</v>
      </c>
      <c r="S13" s="62"/>
      <c r="T13" s="68">
        <f t="shared" si="0"/>
        <v>62534.150411931856</v>
      </c>
      <c r="U13" s="68"/>
      <c r="V13" s="68">
        <f>T13*0.15</f>
        <v>9380.122561789778</v>
      </c>
      <c r="W13" s="68"/>
      <c r="X13" s="68">
        <v>1.8</v>
      </c>
      <c r="Y13" s="68">
        <f t="shared" si="1"/>
        <v>9000</v>
      </c>
      <c r="Z13" s="68"/>
      <c r="AA13" s="68"/>
      <c r="AB13" s="68"/>
      <c r="AC13" s="68"/>
      <c r="AE13" s="77"/>
      <c r="AF13" s="78"/>
      <c r="AG13" s="79"/>
      <c r="AH13" s="79"/>
      <c r="AI13" s="79"/>
      <c r="AJ13" s="80"/>
      <c r="AK13" s="79"/>
      <c r="AL13" s="79"/>
      <c r="AM13" s="79"/>
      <c r="AN13" s="80"/>
      <c r="AO13" s="79"/>
      <c r="AP13" s="79"/>
      <c r="AQ13" s="78"/>
      <c r="AR13" s="79"/>
      <c r="AS13" s="79"/>
      <c r="AT13" s="79"/>
    </row>
    <row r="14" spans="1:46" s="2" customFormat="1" ht="20.25" customHeight="1" x14ac:dyDescent="0.25">
      <c r="A14" s="3">
        <v>4</v>
      </c>
      <c r="B14" s="18" t="s">
        <v>103</v>
      </c>
      <c r="C14" s="3" t="s">
        <v>26</v>
      </c>
      <c r="D14" s="5">
        <f>$C$5</f>
        <v>100</v>
      </c>
      <c r="E14" s="3" t="s">
        <v>69</v>
      </c>
      <c r="F14" s="16">
        <f t="shared" si="2"/>
        <v>4</v>
      </c>
      <c r="G14" s="3" t="s">
        <v>72</v>
      </c>
      <c r="H14" s="3" t="s">
        <v>73</v>
      </c>
      <c r="I14" s="3">
        <v>2</v>
      </c>
      <c r="J14" s="3">
        <v>1</v>
      </c>
      <c r="K14" s="17" t="s">
        <v>29</v>
      </c>
      <c r="L14" s="3">
        <v>25</v>
      </c>
      <c r="M14" s="7">
        <f t="shared" ref="M14:M34" si="4">D14/L14</f>
        <v>4</v>
      </c>
      <c r="N14" s="7">
        <f t="shared" si="3"/>
        <v>4</v>
      </c>
      <c r="O14" s="7" t="s">
        <v>29</v>
      </c>
      <c r="P14" s="5" t="s">
        <v>31</v>
      </c>
      <c r="Q14" s="5" t="s">
        <v>29</v>
      </c>
      <c r="R14" s="7">
        <f>'Тарифная ставка по разряду Про.'!B5</f>
        <v>901.39315909090953</v>
      </c>
      <c r="S14" s="5" t="s">
        <v>29</v>
      </c>
      <c r="T14" s="7">
        <f t="shared" si="0"/>
        <v>3605.5726363636381</v>
      </c>
      <c r="U14" s="7" t="s">
        <v>29</v>
      </c>
      <c r="V14" s="7">
        <f>T14*0.25</f>
        <v>901.39315909090953</v>
      </c>
      <c r="W14" s="7" t="s">
        <v>29</v>
      </c>
      <c r="X14" s="45">
        <v>4.5999999999999996</v>
      </c>
      <c r="Y14" s="44">
        <f t="shared" si="1"/>
        <v>459.99999999999994</v>
      </c>
      <c r="Z14" s="7"/>
      <c r="AA14" s="7"/>
      <c r="AB14" s="7">
        <v>5.0999999999999996</v>
      </c>
      <c r="AC14" s="7">
        <f>AB14*N14</f>
        <v>20.399999999999999</v>
      </c>
      <c r="AE14" s="1"/>
      <c r="AF14" s="23"/>
      <c r="AG14" s="27"/>
      <c r="AH14" s="27"/>
      <c r="AI14" s="27"/>
      <c r="AJ14" s="121"/>
      <c r="AK14" s="122"/>
      <c r="AL14" s="122"/>
      <c r="AM14" s="122"/>
      <c r="AN14" s="25"/>
      <c r="AO14" s="8"/>
      <c r="AP14" s="8"/>
      <c r="AQ14" s="23"/>
      <c r="AR14" s="8"/>
      <c r="AS14" s="8"/>
      <c r="AT14" s="8"/>
    </row>
    <row r="15" spans="1:46" x14ac:dyDescent="0.25">
      <c r="A15" s="5">
        <v>5</v>
      </c>
      <c r="B15" s="6" t="s">
        <v>40</v>
      </c>
      <c r="C15" s="5" t="s">
        <v>26</v>
      </c>
      <c r="D15" s="5">
        <f>$C$5</f>
        <v>100</v>
      </c>
      <c r="E15" s="5" t="s">
        <v>69</v>
      </c>
      <c r="F15" s="16">
        <f t="shared" si="2"/>
        <v>9.2592592592592595</v>
      </c>
      <c r="G15" s="17" t="s">
        <v>51</v>
      </c>
      <c r="H15" s="5" t="s">
        <v>74</v>
      </c>
      <c r="I15" s="5">
        <v>1</v>
      </c>
      <c r="J15" s="17">
        <v>1</v>
      </c>
      <c r="K15" s="17" t="s">
        <v>29</v>
      </c>
      <c r="L15" s="5">
        <v>10.8</v>
      </c>
      <c r="M15" s="7">
        <f t="shared" si="4"/>
        <v>9.2592592592592595</v>
      </c>
      <c r="N15" s="7">
        <f t="shared" si="3"/>
        <v>9.2592592592592595</v>
      </c>
      <c r="O15" s="7" t="s">
        <v>29</v>
      </c>
      <c r="P15" s="5" t="s">
        <v>33</v>
      </c>
      <c r="Q15" s="5" t="s">
        <v>29</v>
      </c>
      <c r="R15" s="7">
        <v>1110.6065113159098</v>
      </c>
      <c r="S15" s="5" t="s">
        <v>29</v>
      </c>
      <c r="T15" s="7">
        <f t="shared" si="0"/>
        <v>10283.39362329546</v>
      </c>
      <c r="U15" s="7" t="s">
        <v>29</v>
      </c>
      <c r="V15" s="7">
        <f>T15*0.25</f>
        <v>2570.8484058238651</v>
      </c>
      <c r="W15" s="7" t="s">
        <v>29</v>
      </c>
      <c r="X15" s="44">
        <v>8.4</v>
      </c>
      <c r="Y15" s="44">
        <f t="shared" si="1"/>
        <v>840</v>
      </c>
      <c r="Z15" s="7"/>
      <c r="AA15" s="7"/>
      <c r="AB15" s="7">
        <f>AB11</f>
        <v>11.6</v>
      </c>
      <c r="AC15" s="7">
        <f>AB15*N15</f>
        <v>107.4074074074074</v>
      </c>
      <c r="AE15" s="1"/>
      <c r="AF15" s="23"/>
      <c r="AG15" s="8"/>
      <c r="AH15" s="8"/>
      <c r="AI15" s="8"/>
      <c r="AJ15" s="121"/>
      <c r="AK15" s="122"/>
      <c r="AL15" s="122"/>
      <c r="AM15" s="122"/>
      <c r="AN15" s="24"/>
      <c r="AO15" s="8"/>
      <c r="AP15" s="8"/>
      <c r="AQ15" s="23"/>
      <c r="AR15" s="8"/>
      <c r="AS15" s="8"/>
      <c r="AT15" s="8"/>
    </row>
    <row r="16" spans="1:46" x14ac:dyDescent="0.25">
      <c r="A16" s="5">
        <v>6</v>
      </c>
      <c r="B16" s="6" t="s">
        <v>35</v>
      </c>
      <c r="C16" s="5" t="s">
        <v>26</v>
      </c>
      <c r="D16" s="5">
        <f>$C$5</f>
        <v>100</v>
      </c>
      <c r="E16" s="5" t="s">
        <v>31</v>
      </c>
      <c r="F16" s="16">
        <f t="shared" si="2"/>
        <v>1.9230769230769231</v>
      </c>
      <c r="G16" s="5" t="s">
        <v>70</v>
      </c>
      <c r="H16" s="5" t="s">
        <v>75</v>
      </c>
      <c r="I16" s="5" t="s">
        <v>76</v>
      </c>
      <c r="J16" s="5">
        <v>1</v>
      </c>
      <c r="K16" s="17" t="s">
        <v>29</v>
      </c>
      <c r="L16" s="5">
        <v>52</v>
      </c>
      <c r="M16" s="7">
        <f t="shared" si="4"/>
        <v>1.9230769230769231</v>
      </c>
      <c r="N16" s="7">
        <f t="shared" si="3"/>
        <v>1.9230769230769231</v>
      </c>
      <c r="O16" s="7" t="s">
        <v>29</v>
      </c>
      <c r="P16" s="5" t="s">
        <v>31</v>
      </c>
      <c r="Q16" s="5" t="s">
        <v>29</v>
      </c>
      <c r="R16" s="7">
        <v>901.39315909090953</v>
      </c>
      <c r="S16" s="5" t="s">
        <v>29</v>
      </c>
      <c r="T16" s="7">
        <f t="shared" si="0"/>
        <v>1733.4483828671337</v>
      </c>
      <c r="U16" s="7" t="s">
        <v>29</v>
      </c>
      <c r="V16" s="7">
        <f>T16*0.25</f>
        <v>433.36209571678341</v>
      </c>
      <c r="W16" s="7" t="s">
        <v>29</v>
      </c>
      <c r="X16" s="44">
        <v>6.4</v>
      </c>
      <c r="Y16" s="44">
        <f t="shared" si="1"/>
        <v>640</v>
      </c>
      <c r="Z16" s="7"/>
      <c r="AA16" s="7"/>
      <c r="AB16" s="7">
        <f>AB12</f>
        <v>7</v>
      </c>
      <c r="AC16" s="7">
        <f>AB16*N16</f>
        <v>13.461538461538462</v>
      </c>
      <c r="AE16" s="1"/>
      <c r="AF16" s="23"/>
      <c r="AG16" s="8"/>
      <c r="AH16" s="8"/>
      <c r="AI16" s="8"/>
      <c r="AJ16" s="25"/>
      <c r="AK16" s="8"/>
      <c r="AL16" s="8"/>
      <c r="AM16" s="8"/>
      <c r="AN16" s="25"/>
      <c r="AO16" s="8"/>
      <c r="AP16" s="8"/>
      <c r="AQ16" s="29"/>
      <c r="AR16" s="8"/>
      <c r="AS16" s="8"/>
      <c r="AT16" s="8"/>
    </row>
    <row r="17" spans="1:46" x14ac:dyDescent="0.25">
      <c r="A17" s="5">
        <v>7</v>
      </c>
      <c r="B17" s="6" t="s">
        <v>36</v>
      </c>
      <c r="C17" s="5" t="s">
        <v>28</v>
      </c>
      <c r="D17" s="5">
        <v>60</v>
      </c>
      <c r="E17" s="5" t="s">
        <v>31</v>
      </c>
      <c r="F17" s="16">
        <f t="shared" si="2"/>
        <v>0.92307692307692313</v>
      </c>
      <c r="G17" s="5" t="s">
        <v>27</v>
      </c>
      <c r="H17" s="5" t="s">
        <v>77</v>
      </c>
      <c r="I17" s="5">
        <v>1</v>
      </c>
      <c r="J17" s="5">
        <v>1</v>
      </c>
      <c r="K17" s="17" t="s">
        <v>29</v>
      </c>
      <c r="L17" s="5">
        <v>65</v>
      </c>
      <c r="M17" s="7">
        <f t="shared" si="4"/>
        <v>0.92307692307692313</v>
      </c>
      <c r="N17" s="7">
        <f t="shared" si="3"/>
        <v>0.92307692307692313</v>
      </c>
      <c r="O17" s="7" t="s">
        <v>29</v>
      </c>
      <c r="P17" s="5" t="s">
        <v>31</v>
      </c>
      <c r="Q17" s="5" t="s">
        <v>29</v>
      </c>
      <c r="R17" s="7">
        <v>901.39315909090953</v>
      </c>
      <c r="S17" s="5" t="s">
        <v>29</v>
      </c>
      <c r="T17" s="7">
        <f t="shared" si="0"/>
        <v>832.05522377622424</v>
      </c>
      <c r="U17" s="7" t="s">
        <v>29</v>
      </c>
      <c r="V17" s="7">
        <f>T17*0.15</f>
        <v>124.80828356643363</v>
      </c>
      <c r="W17" s="7" t="s">
        <v>29</v>
      </c>
      <c r="X17" s="44">
        <v>0.2</v>
      </c>
      <c r="Y17" s="44">
        <f t="shared" si="1"/>
        <v>12</v>
      </c>
      <c r="Z17" s="7"/>
      <c r="AA17" s="7"/>
      <c r="AB17" s="7">
        <v>4.9000000000000004</v>
      </c>
      <c r="AC17" s="7">
        <f>AB17*N17</f>
        <v>4.5230769230769239</v>
      </c>
      <c r="AE17" s="1"/>
      <c r="AF17" s="23"/>
      <c r="AG17" s="8"/>
      <c r="AH17" s="8"/>
      <c r="AI17" s="8"/>
      <c r="AK17" s="8"/>
      <c r="AL17" s="8"/>
      <c r="AM17" s="8"/>
      <c r="AN17" s="25"/>
      <c r="AO17" s="8"/>
      <c r="AP17" s="8"/>
      <c r="AQ17" s="29"/>
      <c r="AR17" s="8"/>
      <c r="AS17" s="8"/>
      <c r="AT17" s="8"/>
    </row>
    <row r="18" spans="1:46" s="63" customFormat="1" x14ac:dyDescent="0.25">
      <c r="A18" s="62"/>
      <c r="B18" s="66" t="s">
        <v>102</v>
      </c>
      <c r="C18" s="62" t="s">
        <v>28</v>
      </c>
      <c r="D18" s="62">
        <v>60</v>
      </c>
      <c r="E18" s="62" t="s">
        <v>31</v>
      </c>
      <c r="F18" s="67">
        <v>1</v>
      </c>
      <c r="G18" s="62" t="s">
        <v>104</v>
      </c>
      <c r="H18" s="62"/>
      <c r="I18" s="62"/>
      <c r="J18" s="62">
        <v>1</v>
      </c>
      <c r="K18" s="74"/>
      <c r="L18" s="62">
        <v>80</v>
      </c>
      <c r="M18" s="68">
        <f t="shared" si="4"/>
        <v>0.75</v>
      </c>
      <c r="N18" s="68">
        <f t="shared" si="3"/>
        <v>0.75</v>
      </c>
      <c r="O18" s="68"/>
      <c r="P18" s="62" t="s">
        <v>31</v>
      </c>
      <c r="Q18" s="62"/>
      <c r="R18" s="68">
        <v>901.39315909090953</v>
      </c>
      <c r="S18" s="62"/>
      <c r="T18" s="68">
        <f t="shared" si="0"/>
        <v>676.04486931818212</v>
      </c>
      <c r="U18" s="68"/>
      <c r="V18" s="68">
        <f>T18*0.15</f>
        <v>101.40673039772732</v>
      </c>
      <c r="W18" s="68"/>
      <c r="X18" s="68">
        <v>1.8</v>
      </c>
      <c r="Y18" s="68">
        <f t="shared" si="1"/>
        <v>108</v>
      </c>
      <c r="Z18" s="68"/>
      <c r="AA18" s="68"/>
      <c r="AB18" s="68"/>
      <c r="AC18" s="68"/>
      <c r="AE18" s="71"/>
      <c r="AF18" s="72"/>
      <c r="AG18" s="73"/>
      <c r="AH18" s="73"/>
      <c r="AI18" s="73"/>
      <c r="AK18" s="73"/>
      <c r="AL18" s="73"/>
      <c r="AM18" s="73"/>
      <c r="AN18" s="75"/>
      <c r="AO18" s="73"/>
      <c r="AP18" s="73"/>
      <c r="AQ18" s="76"/>
      <c r="AR18" s="73"/>
      <c r="AS18" s="73"/>
      <c r="AT18" s="73"/>
    </row>
    <row r="19" spans="1:46" x14ac:dyDescent="0.25">
      <c r="A19" s="5">
        <v>8</v>
      </c>
      <c r="B19" s="6" t="s">
        <v>106</v>
      </c>
      <c r="C19" s="5" t="s">
        <v>26</v>
      </c>
      <c r="D19" s="5">
        <f>$C$5</f>
        <v>100</v>
      </c>
      <c r="E19" s="5" t="s">
        <v>31</v>
      </c>
      <c r="F19" s="16">
        <f t="shared" si="2"/>
        <v>4.2553191489361701</v>
      </c>
      <c r="G19" s="5" t="s">
        <v>72</v>
      </c>
      <c r="H19" s="5" t="s">
        <v>78</v>
      </c>
      <c r="I19" s="5">
        <v>1</v>
      </c>
      <c r="J19" s="5">
        <v>1</v>
      </c>
      <c r="K19" s="17">
        <v>2</v>
      </c>
      <c r="L19" s="5">
        <v>23.5</v>
      </c>
      <c r="M19" s="7">
        <f t="shared" si="4"/>
        <v>4.2553191489361701</v>
      </c>
      <c r="N19" s="7">
        <f t="shared" si="3"/>
        <v>4.2553191489361701</v>
      </c>
      <c r="O19" s="7">
        <f>M19*K19</f>
        <v>8.5106382978723403</v>
      </c>
      <c r="P19" s="5" t="s">
        <v>42</v>
      </c>
      <c r="Q19" s="40" t="s">
        <v>100</v>
      </c>
      <c r="R19" s="7">
        <f>'Тарифная ставка по разряду Про.'!B4</f>
        <v>812.06590909090937</v>
      </c>
      <c r="S19" s="43">
        <f>'Тарифная ставка по разряду Про.'!B2</f>
        <v>659.09090909090912</v>
      </c>
      <c r="T19" s="7">
        <f t="shared" si="0"/>
        <v>3455.5996131528059</v>
      </c>
      <c r="U19" s="7">
        <f>S19*O19</f>
        <v>5609.2843326885886</v>
      </c>
      <c r="V19" s="7">
        <f>T19*0.2</f>
        <v>691.11992263056118</v>
      </c>
      <c r="W19" s="7">
        <f>U19*0.25</f>
        <v>1402.3210831721472</v>
      </c>
      <c r="X19" s="44">
        <v>3.7</v>
      </c>
      <c r="Y19" s="44">
        <f t="shared" si="1"/>
        <v>370</v>
      </c>
      <c r="Z19" s="7"/>
      <c r="AA19" s="7"/>
      <c r="AB19" s="7">
        <f>AB14</f>
        <v>5.0999999999999996</v>
      </c>
      <c r="AC19" s="7">
        <f>AB19*N19</f>
        <v>21.702127659574465</v>
      </c>
      <c r="AE19" s="1"/>
      <c r="AF19" s="23"/>
      <c r="AG19" s="8"/>
      <c r="AH19" s="8"/>
      <c r="AI19" s="8"/>
      <c r="AJ19" s="30"/>
      <c r="AK19" s="8"/>
      <c r="AL19" s="8"/>
      <c r="AM19" s="8"/>
      <c r="AN19" s="29"/>
      <c r="AO19" s="8"/>
      <c r="AP19" s="8"/>
      <c r="AQ19" s="29"/>
      <c r="AR19" s="8"/>
      <c r="AS19" s="8"/>
      <c r="AT19" s="8"/>
    </row>
    <row r="20" spans="1:46" ht="16.5" customHeight="1" x14ac:dyDescent="0.25">
      <c r="A20" s="5">
        <v>9</v>
      </c>
      <c r="B20" s="18" t="s">
        <v>54</v>
      </c>
      <c r="C20" s="5" t="s">
        <v>26</v>
      </c>
      <c r="D20" s="5">
        <f>$C$5</f>
        <v>100</v>
      </c>
      <c r="E20" s="5" t="s">
        <v>32</v>
      </c>
      <c r="F20" s="16">
        <f t="shared" si="2"/>
        <v>3.5714285714285716</v>
      </c>
      <c r="G20" s="5" t="s">
        <v>79</v>
      </c>
      <c r="H20" s="5" t="s">
        <v>92</v>
      </c>
      <c r="I20" s="5">
        <v>1</v>
      </c>
      <c r="J20" s="5">
        <v>1</v>
      </c>
      <c r="K20" s="17" t="s">
        <v>29</v>
      </c>
      <c r="L20" s="5">
        <v>28</v>
      </c>
      <c r="M20" s="7">
        <f t="shared" si="4"/>
        <v>3.5714285714285716</v>
      </c>
      <c r="N20" s="7">
        <f t="shared" si="3"/>
        <v>3.5714285714285716</v>
      </c>
      <c r="O20" s="7" t="s">
        <v>29</v>
      </c>
      <c r="P20" s="5" t="s">
        <v>32</v>
      </c>
      <c r="Q20" s="5" t="s">
        <v>29</v>
      </c>
      <c r="R20" s="7">
        <v>1000.5464065909097</v>
      </c>
      <c r="S20" s="5" t="s">
        <v>29</v>
      </c>
      <c r="T20" s="7">
        <f t="shared" si="0"/>
        <v>3573.3800235389631</v>
      </c>
      <c r="U20" s="7" t="s">
        <v>29</v>
      </c>
      <c r="V20" s="7">
        <f>T20*0.25</f>
        <v>893.34500588474077</v>
      </c>
      <c r="W20" s="7" t="s">
        <v>29</v>
      </c>
      <c r="X20" s="44">
        <v>3.9</v>
      </c>
      <c r="Y20" s="44">
        <f t="shared" si="1"/>
        <v>390</v>
      </c>
      <c r="Z20" s="7"/>
      <c r="AA20" s="7"/>
      <c r="AB20" s="7">
        <v>9.1999999999999993</v>
      </c>
      <c r="AC20" s="7">
        <f>AB20*N20</f>
        <v>32.857142857142854</v>
      </c>
      <c r="AE20" s="1"/>
      <c r="AF20" s="23"/>
      <c r="AG20" s="8"/>
      <c r="AH20" s="8"/>
      <c r="AI20" s="8"/>
      <c r="AK20" s="8"/>
      <c r="AL20" s="8"/>
      <c r="AM20" s="8"/>
      <c r="AN20" s="25"/>
      <c r="AO20" s="8"/>
      <c r="AP20" s="8"/>
      <c r="AQ20" s="29"/>
      <c r="AR20" s="8"/>
      <c r="AS20" s="8"/>
      <c r="AT20" s="8"/>
    </row>
    <row r="21" spans="1:46" x14ac:dyDescent="0.25">
      <c r="A21" s="5">
        <v>10</v>
      </c>
      <c r="B21" s="6" t="s">
        <v>93</v>
      </c>
      <c r="C21" s="5" t="s">
        <v>28</v>
      </c>
      <c r="D21" s="5">
        <v>18</v>
      </c>
      <c r="E21" s="5" t="s">
        <v>32</v>
      </c>
      <c r="F21" s="16">
        <f t="shared" si="2"/>
        <v>0.12857142857142856</v>
      </c>
      <c r="G21" s="5" t="s">
        <v>41</v>
      </c>
      <c r="H21" s="5" t="s">
        <v>90</v>
      </c>
      <c r="I21" s="5">
        <v>1</v>
      </c>
      <c r="J21" s="5">
        <v>1</v>
      </c>
      <c r="K21" s="17" t="s">
        <v>29</v>
      </c>
      <c r="L21" s="5">
        <v>140</v>
      </c>
      <c r="M21" s="7">
        <f t="shared" si="4"/>
        <v>0.12857142857142856</v>
      </c>
      <c r="N21" s="7">
        <f t="shared" si="3"/>
        <v>0.12857142857142856</v>
      </c>
      <c r="O21" s="7" t="s">
        <v>29</v>
      </c>
      <c r="P21" s="5" t="s">
        <v>31</v>
      </c>
      <c r="Q21" s="5" t="s">
        <v>29</v>
      </c>
      <c r="R21" s="7">
        <v>901.39315909090953</v>
      </c>
      <c r="S21" s="5" t="s">
        <v>29</v>
      </c>
      <c r="T21" s="7">
        <f t="shared" si="0"/>
        <v>115.89340616883122</v>
      </c>
      <c r="U21" s="7" t="s">
        <v>29</v>
      </c>
      <c r="V21" s="7">
        <f>T21*0.15</f>
        <v>17.384010925324681</v>
      </c>
      <c r="W21" s="7" t="s">
        <v>29</v>
      </c>
      <c r="X21" s="44"/>
      <c r="Y21" s="44">
        <f t="shared" si="1"/>
        <v>0</v>
      </c>
      <c r="Z21" s="7"/>
      <c r="AA21" s="7">
        <v>9.27</v>
      </c>
      <c r="AB21" s="7"/>
      <c r="AC21" s="7"/>
      <c r="AD21">
        <f>10.3*M21*7</f>
        <v>9.27</v>
      </c>
      <c r="AE21" s="1"/>
      <c r="AF21" s="23"/>
      <c r="AG21" s="8"/>
      <c r="AH21" s="8"/>
      <c r="AI21" s="8"/>
      <c r="AK21" s="8"/>
      <c r="AL21" s="8"/>
      <c r="AM21" s="8"/>
      <c r="AO21" s="8"/>
      <c r="AP21" s="8"/>
      <c r="AQ21" s="23"/>
      <c r="AR21" s="8"/>
      <c r="AS21" s="8"/>
      <c r="AT21" s="8"/>
    </row>
    <row r="22" spans="1:46" s="63" customFormat="1" x14ac:dyDescent="0.25">
      <c r="A22" s="62">
        <v>10</v>
      </c>
      <c r="B22" s="66" t="s">
        <v>55</v>
      </c>
      <c r="C22" s="62" t="s">
        <v>28</v>
      </c>
      <c r="D22" s="62">
        <v>18</v>
      </c>
      <c r="E22" s="62" t="s">
        <v>32</v>
      </c>
      <c r="F22" s="67">
        <f t="shared" si="2"/>
        <v>0.22500000000000001</v>
      </c>
      <c r="G22" s="62" t="s">
        <v>104</v>
      </c>
      <c r="H22" s="62" t="s">
        <v>29</v>
      </c>
      <c r="I22" s="62" t="s">
        <v>29</v>
      </c>
      <c r="J22" s="62">
        <v>1</v>
      </c>
      <c r="K22" s="62">
        <v>1</v>
      </c>
      <c r="L22" s="62">
        <v>80</v>
      </c>
      <c r="M22" s="68">
        <f t="shared" si="4"/>
        <v>0.22500000000000001</v>
      </c>
      <c r="N22" s="68">
        <f t="shared" si="3"/>
        <v>0.22500000000000001</v>
      </c>
      <c r="O22" s="68">
        <f>M22*K22</f>
        <v>0.22500000000000001</v>
      </c>
      <c r="P22" s="62" t="s">
        <v>31</v>
      </c>
      <c r="Q22" s="62" t="s">
        <v>100</v>
      </c>
      <c r="R22" s="62"/>
      <c r="S22" s="69">
        <v>659.09090909090912</v>
      </c>
      <c r="T22" s="68">
        <f t="shared" si="0"/>
        <v>0</v>
      </c>
      <c r="U22" s="68">
        <f>S22*O22</f>
        <v>148.29545454545456</v>
      </c>
      <c r="V22" s="68">
        <f t="shared" ref="V22:V23" si="5">T22*0.15</f>
        <v>0</v>
      </c>
      <c r="W22" s="68">
        <f>U22*0.15</f>
        <v>22.244318181818183</v>
      </c>
      <c r="X22" s="68">
        <v>1.8</v>
      </c>
      <c r="Y22" s="68">
        <f t="shared" si="1"/>
        <v>32.4</v>
      </c>
      <c r="Z22" s="68"/>
      <c r="AA22" s="68"/>
      <c r="AB22" s="68"/>
      <c r="AC22" s="68"/>
      <c r="AE22" s="71"/>
      <c r="AF22" s="72"/>
      <c r="AG22" s="73"/>
      <c r="AH22" s="73"/>
      <c r="AI22" s="73"/>
      <c r="AK22" s="73"/>
      <c r="AL22" s="73"/>
      <c r="AM22" s="73"/>
      <c r="AO22" s="73"/>
      <c r="AP22" s="73"/>
      <c r="AQ22" s="72"/>
      <c r="AR22" s="73"/>
      <c r="AS22" s="73"/>
      <c r="AT22" s="73"/>
    </row>
    <row r="23" spans="1:46" x14ac:dyDescent="0.25">
      <c r="A23" s="5">
        <v>11</v>
      </c>
      <c r="B23" s="6" t="s">
        <v>56</v>
      </c>
      <c r="C23" s="5" t="s">
        <v>28</v>
      </c>
      <c r="D23" s="5">
        <v>18</v>
      </c>
      <c r="E23" s="5" t="s">
        <v>32</v>
      </c>
      <c r="F23" s="16">
        <f t="shared" si="2"/>
        <v>0.3</v>
      </c>
      <c r="G23" s="5" t="s">
        <v>80</v>
      </c>
      <c r="H23" s="5" t="s">
        <v>29</v>
      </c>
      <c r="I23" s="5" t="s">
        <v>29</v>
      </c>
      <c r="J23" s="40">
        <v>1</v>
      </c>
      <c r="K23" s="40">
        <v>1</v>
      </c>
      <c r="L23" s="40">
        <v>60</v>
      </c>
      <c r="M23" s="7">
        <f t="shared" si="4"/>
        <v>0.3</v>
      </c>
      <c r="N23" s="7">
        <f t="shared" si="3"/>
        <v>0.3</v>
      </c>
      <c r="O23" s="7">
        <f>M23*K23</f>
        <v>0.3</v>
      </c>
      <c r="P23" s="5" t="s">
        <v>31</v>
      </c>
      <c r="Q23" s="40" t="s">
        <v>100</v>
      </c>
      <c r="R23" s="7">
        <v>901.39315909090953</v>
      </c>
      <c r="S23" s="43">
        <v>659.09090909090912</v>
      </c>
      <c r="T23" s="7">
        <f t="shared" si="0"/>
        <v>270.41794772727286</v>
      </c>
      <c r="U23" s="7">
        <f>S23*O23</f>
        <v>197.72727272727272</v>
      </c>
      <c r="V23" s="7">
        <f t="shared" si="5"/>
        <v>40.562692159090929</v>
      </c>
      <c r="W23" s="7">
        <f>U23*0.15</f>
        <v>29.659090909090907</v>
      </c>
      <c r="X23" s="44">
        <v>0.18</v>
      </c>
      <c r="Y23" s="44">
        <f t="shared" si="1"/>
        <v>3.2399999999999998</v>
      </c>
      <c r="Z23" s="7"/>
      <c r="AA23" s="7"/>
      <c r="AB23" s="7"/>
      <c r="AC23" s="7"/>
      <c r="AE23" s="1"/>
      <c r="AF23" s="23"/>
      <c r="AG23" s="8"/>
      <c r="AH23" s="8"/>
      <c r="AI23" s="8"/>
      <c r="AK23" s="8"/>
      <c r="AL23" s="8"/>
      <c r="AM23" s="8"/>
      <c r="AO23" s="8"/>
      <c r="AP23" s="8"/>
      <c r="AQ23" s="1"/>
      <c r="AR23" s="8"/>
      <c r="AS23" s="8"/>
      <c r="AT23" s="8"/>
    </row>
    <row r="24" spans="1:46" x14ac:dyDescent="0.25">
      <c r="A24" s="5">
        <v>12</v>
      </c>
      <c r="B24" s="6" t="s">
        <v>57</v>
      </c>
      <c r="C24" s="5" t="s">
        <v>26</v>
      </c>
      <c r="D24" s="5">
        <f>$C$5</f>
        <v>100</v>
      </c>
      <c r="E24" s="5" t="s">
        <v>32</v>
      </c>
      <c r="F24" s="16">
        <f t="shared" si="2"/>
        <v>9.5238095238095237</v>
      </c>
      <c r="G24" s="5" t="s">
        <v>72</v>
      </c>
      <c r="H24" s="5" t="s">
        <v>81</v>
      </c>
      <c r="I24" s="5">
        <v>1</v>
      </c>
      <c r="J24" s="5">
        <v>1</v>
      </c>
      <c r="K24" s="5">
        <v>3</v>
      </c>
      <c r="L24" s="5">
        <v>10.5</v>
      </c>
      <c r="M24" s="7">
        <f t="shared" si="4"/>
        <v>9.5238095238095237</v>
      </c>
      <c r="N24" s="7">
        <f t="shared" si="3"/>
        <v>9.5238095238095237</v>
      </c>
      <c r="O24" s="7">
        <f>M24*K24</f>
        <v>28.571428571428569</v>
      </c>
      <c r="P24" s="5" t="s">
        <v>32</v>
      </c>
      <c r="Q24" s="40" t="s">
        <v>101</v>
      </c>
      <c r="R24" s="7">
        <v>1000.5464065909097</v>
      </c>
      <c r="S24" s="43">
        <f>'Тарифная ставка по разряду Про.'!B3</f>
        <v>731.59090909090924</v>
      </c>
      <c r="T24" s="7">
        <f t="shared" si="0"/>
        <v>9529.013396103901</v>
      </c>
      <c r="U24" s="7">
        <f>S24*O24</f>
        <v>20902.597402597406</v>
      </c>
      <c r="V24" s="7">
        <f>T24*0.3</f>
        <v>2858.7040188311703</v>
      </c>
      <c r="W24" s="7">
        <f>U24*0.3</f>
        <v>6270.7792207792218</v>
      </c>
      <c r="X24" s="44">
        <v>8.1999999999999993</v>
      </c>
      <c r="Y24" s="44">
        <f t="shared" si="1"/>
        <v>819.99999999999989</v>
      </c>
      <c r="Z24" s="7"/>
      <c r="AA24" s="7"/>
      <c r="AB24" s="7">
        <f>AB14</f>
        <v>5.0999999999999996</v>
      </c>
      <c r="AC24" s="7">
        <f>AB24*N24</f>
        <v>48.571428571428569</v>
      </c>
      <c r="AE24" s="122"/>
      <c r="AF24" s="122"/>
      <c r="AG24" s="8"/>
      <c r="AH24" s="8"/>
      <c r="AI24" s="8"/>
      <c r="AJ24" s="8"/>
      <c r="AK24" s="122"/>
      <c r="AL24" s="122"/>
      <c r="AM24" s="122"/>
      <c r="AN24" s="8"/>
      <c r="AO24" s="8"/>
      <c r="AP24" s="8"/>
      <c r="AQ24" s="8"/>
      <c r="AR24" s="8"/>
      <c r="AS24" s="122"/>
      <c r="AT24" s="122"/>
    </row>
    <row r="25" spans="1:46" x14ac:dyDescent="0.25">
      <c r="A25" s="5">
        <v>13</v>
      </c>
      <c r="B25" s="6" t="s">
        <v>58</v>
      </c>
      <c r="C25" s="5" t="s">
        <v>26</v>
      </c>
      <c r="D25" s="5">
        <f>$C$5</f>
        <v>100</v>
      </c>
      <c r="E25" s="5" t="s">
        <v>33</v>
      </c>
      <c r="F25" s="16">
        <f t="shared" si="2"/>
        <v>6.8493150684931505</v>
      </c>
      <c r="G25" s="5" t="s">
        <v>27</v>
      </c>
      <c r="H25" s="5" t="s">
        <v>82</v>
      </c>
      <c r="I25" s="5">
        <v>1</v>
      </c>
      <c r="J25" s="5">
        <v>1</v>
      </c>
      <c r="K25" s="5" t="s">
        <v>29</v>
      </c>
      <c r="L25" s="5">
        <v>14.6</v>
      </c>
      <c r="M25" s="7">
        <f t="shared" si="4"/>
        <v>6.8493150684931505</v>
      </c>
      <c r="N25" s="7">
        <f t="shared" si="3"/>
        <v>6.8493150684931505</v>
      </c>
      <c r="O25" s="7" t="s">
        <v>29</v>
      </c>
      <c r="P25" s="5" t="s">
        <v>31</v>
      </c>
      <c r="Q25" s="5" t="s">
        <v>29</v>
      </c>
      <c r="R25" s="7">
        <v>901.39315909090953</v>
      </c>
      <c r="S25" s="43" t="s">
        <v>29</v>
      </c>
      <c r="T25" s="7">
        <f t="shared" si="0"/>
        <v>6173.92574719801</v>
      </c>
      <c r="U25" s="7" t="s">
        <v>29</v>
      </c>
      <c r="V25" s="7">
        <f t="shared" ref="V25:V30" si="6">T25*0.2</f>
        <v>1234.785149439602</v>
      </c>
      <c r="W25" s="7" t="s">
        <v>29</v>
      </c>
      <c r="X25" s="44">
        <v>4.3</v>
      </c>
      <c r="Y25" s="44">
        <f t="shared" si="1"/>
        <v>430</v>
      </c>
      <c r="Z25" s="7"/>
      <c r="AA25" s="7"/>
      <c r="AB25" s="7">
        <f>AB17</f>
        <v>4.9000000000000004</v>
      </c>
      <c r="AC25" s="7">
        <f>AB25*N25</f>
        <v>33.561643835616437</v>
      </c>
    </row>
    <row r="26" spans="1:46" ht="15.75" customHeight="1" x14ac:dyDescent="0.25">
      <c r="A26" s="5">
        <v>14</v>
      </c>
      <c r="B26" s="6" t="s">
        <v>37</v>
      </c>
      <c r="C26" s="5" t="s">
        <v>28</v>
      </c>
      <c r="D26" s="5">
        <v>40</v>
      </c>
      <c r="E26" s="5" t="s">
        <v>33</v>
      </c>
      <c r="F26" s="16">
        <f t="shared" si="2"/>
        <v>1</v>
      </c>
      <c r="G26" s="5" t="s">
        <v>29</v>
      </c>
      <c r="H26" s="5" t="s">
        <v>83</v>
      </c>
      <c r="I26" s="5">
        <v>1</v>
      </c>
      <c r="J26" s="5">
        <v>1</v>
      </c>
      <c r="K26" s="5" t="s">
        <v>29</v>
      </c>
      <c r="L26" s="5">
        <v>40</v>
      </c>
      <c r="M26" s="7">
        <f t="shared" si="4"/>
        <v>1</v>
      </c>
      <c r="N26" s="7">
        <f t="shared" si="3"/>
        <v>1</v>
      </c>
      <c r="O26" s="7" t="s">
        <v>29</v>
      </c>
      <c r="P26" s="5" t="s">
        <v>31</v>
      </c>
      <c r="Q26" s="5" t="s">
        <v>29</v>
      </c>
      <c r="R26" s="7">
        <v>901.39315909090953</v>
      </c>
      <c r="S26" s="43" t="s">
        <v>29</v>
      </c>
      <c r="T26" s="7">
        <f t="shared" si="0"/>
        <v>901.39315909090953</v>
      </c>
      <c r="U26" s="7" t="s">
        <v>29</v>
      </c>
      <c r="V26" s="7">
        <f t="shared" si="6"/>
        <v>180.27863181818191</v>
      </c>
      <c r="W26" s="7" t="s">
        <v>29</v>
      </c>
      <c r="X26" s="44">
        <v>2.6</v>
      </c>
      <c r="Y26" s="44">
        <f t="shared" si="1"/>
        <v>104</v>
      </c>
      <c r="Z26" s="7"/>
      <c r="AA26" s="7"/>
      <c r="AB26" s="7"/>
      <c r="AC26" s="7"/>
    </row>
    <row r="27" spans="1:46" s="63" customFormat="1" ht="15.75" customHeight="1" x14ac:dyDescent="0.25">
      <c r="A27" s="62">
        <v>15</v>
      </c>
      <c r="B27" s="66" t="s">
        <v>38</v>
      </c>
      <c r="C27" s="62" t="s">
        <v>28</v>
      </c>
      <c r="D27" s="62">
        <v>0.8</v>
      </c>
      <c r="E27" s="62" t="s">
        <v>33</v>
      </c>
      <c r="F27" s="67">
        <f>M27</f>
        <v>0.04</v>
      </c>
      <c r="G27" s="62" t="s">
        <v>88</v>
      </c>
      <c r="H27" s="62" t="s">
        <v>29</v>
      </c>
      <c r="I27" s="62" t="s">
        <v>29</v>
      </c>
      <c r="J27" s="62">
        <v>1</v>
      </c>
      <c r="K27" s="62" t="s">
        <v>29</v>
      </c>
      <c r="L27" s="62">
        <v>20</v>
      </c>
      <c r="M27" s="68">
        <f t="shared" si="4"/>
        <v>0.04</v>
      </c>
      <c r="N27" s="68">
        <f t="shared" si="3"/>
        <v>0.04</v>
      </c>
      <c r="O27" s="68" t="s">
        <v>29</v>
      </c>
      <c r="P27" s="62" t="s">
        <v>29</v>
      </c>
      <c r="Q27" s="62" t="s">
        <v>29</v>
      </c>
      <c r="R27" s="62"/>
      <c r="S27" s="69" t="s">
        <v>29</v>
      </c>
      <c r="T27" s="68" t="s">
        <v>29</v>
      </c>
      <c r="U27" s="68" t="s">
        <v>29</v>
      </c>
      <c r="V27" s="68" t="s">
        <v>29</v>
      </c>
      <c r="W27" s="68" t="s">
        <v>29</v>
      </c>
      <c r="X27" s="68">
        <v>3.2</v>
      </c>
      <c r="Y27" s="68">
        <f t="shared" si="1"/>
        <v>2.5600000000000005</v>
      </c>
      <c r="Z27" s="68"/>
      <c r="AA27" s="68"/>
      <c r="AB27" s="68"/>
      <c r="AC27" s="68"/>
    </row>
    <row r="28" spans="1:46" x14ac:dyDescent="0.25">
      <c r="A28" s="5">
        <v>16</v>
      </c>
      <c r="B28" s="6" t="s">
        <v>39</v>
      </c>
      <c r="C28" s="5" t="s">
        <v>28</v>
      </c>
      <c r="D28" s="5">
        <v>40</v>
      </c>
      <c r="E28" s="5" t="s">
        <v>33</v>
      </c>
      <c r="F28" s="16">
        <f t="shared" si="2"/>
        <v>5</v>
      </c>
      <c r="G28" s="5" t="s">
        <v>27</v>
      </c>
      <c r="H28" s="5" t="s">
        <v>84</v>
      </c>
      <c r="I28" s="5">
        <v>1</v>
      </c>
      <c r="J28" s="5">
        <v>1</v>
      </c>
      <c r="K28" s="5">
        <v>1</v>
      </c>
      <c r="L28" s="5">
        <v>8</v>
      </c>
      <c r="M28" s="7">
        <f t="shared" si="4"/>
        <v>5</v>
      </c>
      <c r="N28" s="7">
        <f t="shared" si="3"/>
        <v>5</v>
      </c>
      <c r="O28" s="7">
        <f>M28*K28</f>
        <v>5</v>
      </c>
      <c r="P28" s="5" t="s">
        <v>32</v>
      </c>
      <c r="Q28" s="5" t="s">
        <v>32</v>
      </c>
      <c r="R28" s="7">
        <v>1000.5464065909097</v>
      </c>
      <c r="S28" s="43">
        <v>1000.5464065909097</v>
      </c>
      <c r="T28" s="7">
        <f t="shared" ref="T28:U34" si="7">R28*N28</f>
        <v>5002.7320329545482</v>
      </c>
      <c r="U28" s="7">
        <f t="shared" si="7"/>
        <v>5002.7320329545482</v>
      </c>
      <c r="V28" s="7">
        <f>T28*0.15</f>
        <v>750.40980494318217</v>
      </c>
      <c r="W28" s="7">
        <f>U28*0.15</f>
        <v>750.40980494318217</v>
      </c>
      <c r="X28" s="44">
        <v>0.12</v>
      </c>
      <c r="Y28" s="44">
        <f t="shared" si="1"/>
        <v>4.8</v>
      </c>
      <c r="Z28" s="7"/>
      <c r="AA28" s="7"/>
      <c r="AB28" s="7">
        <f>AB25</f>
        <v>4.9000000000000004</v>
      </c>
      <c r="AC28" s="7">
        <f>AB28*N28</f>
        <v>24.5</v>
      </c>
    </row>
    <row r="29" spans="1:46" ht="18.75" x14ac:dyDescent="0.3">
      <c r="A29" s="5">
        <v>17</v>
      </c>
      <c r="B29" s="6" t="s">
        <v>59</v>
      </c>
      <c r="C29" s="5" t="s">
        <v>26</v>
      </c>
      <c r="D29" s="5">
        <f>$C$5</f>
        <v>100</v>
      </c>
      <c r="E29" s="5" t="s">
        <v>33</v>
      </c>
      <c r="F29" s="16">
        <f t="shared" si="2"/>
        <v>2.1276595744680851</v>
      </c>
      <c r="G29" s="5" t="s">
        <v>72</v>
      </c>
      <c r="H29" s="5" t="s">
        <v>86</v>
      </c>
      <c r="I29" s="5">
        <v>1</v>
      </c>
      <c r="J29" s="5">
        <v>1</v>
      </c>
      <c r="K29" s="5" t="s">
        <v>29</v>
      </c>
      <c r="L29" s="5">
        <v>47</v>
      </c>
      <c r="M29" s="7">
        <f t="shared" si="4"/>
        <v>2.1276595744680851</v>
      </c>
      <c r="N29" s="7">
        <f t="shared" si="3"/>
        <v>2.1276595744680851</v>
      </c>
      <c r="O29" s="7" t="s">
        <v>29</v>
      </c>
      <c r="P29" s="5" t="s">
        <v>33</v>
      </c>
      <c r="Q29" s="5" t="s">
        <v>29</v>
      </c>
      <c r="R29" s="7">
        <v>1110.6065113159098</v>
      </c>
      <c r="S29" s="43" t="s">
        <v>29</v>
      </c>
      <c r="T29" s="7">
        <f t="shared" si="7"/>
        <v>2362.992577267893</v>
      </c>
      <c r="U29" s="7" t="s">
        <v>29</v>
      </c>
      <c r="V29" s="7">
        <f t="shared" si="6"/>
        <v>472.59851545357861</v>
      </c>
      <c r="W29" s="7" t="s">
        <v>29</v>
      </c>
      <c r="X29" s="44">
        <v>3.4</v>
      </c>
      <c r="Y29" s="44">
        <f t="shared" si="1"/>
        <v>340</v>
      </c>
      <c r="Z29" s="7"/>
      <c r="AA29" s="7"/>
      <c r="AB29" s="7">
        <f>AB24</f>
        <v>5.0999999999999996</v>
      </c>
      <c r="AC29" s="7">
        <f>AB29*N29</f>
        <v>10.851063829787233</v>
      </c>
      <c r="AF29" s="132"/>
      <c r="AG29" s="133"/>
      <c r="AH29" s="133"/>
      <c r="AI29" s="134"/>
      <c r="AJ29" s="134"/>
      <c r="AK29" s="132"/>
      <c r="AL29" s="132"/>
      <c r="AM29" s="132"/>
      <c r="AN29" s="132"/>
      <c r="AO29" s="132"/>
      <c r="AP29" s="132"/>
      <c r="AQ29" s="132"/>
      <c r="AR29" s="132"/>
      <c r="AS29" s="132"/>
    </row>
    <row r="30" spans="1:46" x14ac:dyDescent="0.25">
      <c r="A30" s="5">
        <v>18</v>
      </c>
      <c r="B30" s="6" t="s">
        <v>60</v>
      </c>
      <c r="C30" s="5" t="s">
        <v>26</v>
      </c>
      <c r="D30" s="5">
        <f>$C$5</f>
        <v>100</v>
      </c>
      <c r="E30" s="5" t="s">
        <v>30</v>
      </c>
      <c r="F30" s="16">
        <f t="shared" si="2"/>
        <v>20.408163265306122</v>
      </c>
      <c r="G30" s="5" t="s">
        <v>72</v>
      </c>
      <c r="H30" s="5" t="s">
        <v>85</v>
      </c>
      <c r="I30" s="5">
        <v>1</v>
      </c>
      <c r="J30" s="5">
        <v>1</v>
      </c>
      <c r="K30" s="5" t="s">
        <v>29</v>
      </c>
      <c r="L30" s="5">
        <v>4.9000000000000004</v>
      </c>
      <c r="M30" s="7">
        <f t="shared" si="4"/>
        <v>20.408163265306122</v>
      </c>
      <c r="N30" s="7">
        <f t="shared" si="3"/>
        <v>20.408163265306122</v>
      </c>
      <c r="O30" s="7" t="s">
        <v>29</v>
      </c>
      <c r="P30" s="5" t="s">
        <v>42</v>
      </c>
      <c r="Q30" s="5" t="s">
        <v>29</v>
      </c>
      <c r="R30" s="7">
        <v>812.06590909090937</v>
      </c>
      <c r="S30" s="43" t="s">
        <v>29</v>
      </c>
      <c r="T30" s="7">
        <f t="shared" si="7"/>
        <v>16572.773654916517</v>
      </c>
      <c r="U30" s="7" t="s">
        <v>29</v>
      </c>
      <c r="V30" s="7">
        <f t="shared" si="6"/>
        <v>3314.5547309833037</v>
      </c>
      <c r="W30" s="7" t="s">
        <v>29</v>
      </c>
      <c r="X30" s="44">
        <v>4.5999999999999996</v>
      </c>
      <c r="Y30" s="44">
        <f t="shared" si="1"/>
        <v>459.99999999999994</v>
      </c>
      <c r="Z30" s="7"/>
      <c r="AA30" s="7"/>
      <c r="AB30" s="7">
        <f>AB29</f>
        <v>5.0999999999999996</v>
      </c>
      <c r="AC30" s="7">
        <f>AB30*N30</f>
        <v>104.08163265306122</v>
      </c>
      <c r="AF30" s="132"/>
      <c r="AG30" s="133"/>
      <c r="AH30" s="133"/>
      <c r="AI30" s="131"/>
      <c r="AJ30" s="131"/>
      <c r="AK30" s="136"/>
      <c r="AL30" s="136"/>
      <c r="AM30" s="133"/>
      <c r="AN30" s="131"/>
      <c r="AO30" s="136"/>
      <c r="AP30" s="136"/>
      <c r="AQ30" s="131"/>
      <c r="AR30" s="136"/>
      <c r="AS30" s="136"/>
    </row>
    <row r="31" spans="1:46" x14ac:dyDescent="0.25">
      <c r="A31" s="5">
        <v>19</v>
      </c>
      <c r="B31" s="6" t="s">
        <v>61</v>
      </c>
      <c r="C31" s="5" t="s">
        <v>26</v>
      </c>
      <c r="D31" s="5">
        <f>$C$5</f>
        <v>100</v>
      </c>
      <c r="E31" s="5" t="s">
        <v>30</v>
      </c>
      <c r="F31" s="16">
        <f t="shared" si="2"/>
        <v>22.222222222222221</v>
      </c>
      <c r="G31" s="5" t="s">
        <v>72</v>
      </c>
      <c r="H31" s="5" t="s">
        <v>87</v>
      </c>
      <c r="I31" s="5">
        <v>1</v>
      </c>
      <c r="J31" s="5">
        <v>1</v>
      </c>
      <c r="K31" s="5">
        <v>1</v>
      </c>
      <c r="L31" s="5">
        <v>4.5</v>
      </c>
      <c r="M31" s="7">
        <f t="shared" si="4"/>
        <v>22.222222222222221</v>
      </c>
      <c r="N31" s="7">
        <f t="shared" si="3"/>
        <v>22.222222222222221</v>
      </c>
      <c r="O31" s="7">
        <f>M31*K31</f>
        <v>22.222222222222221</v>
      </c>
      <c r="P31" s="5" t="s">
        <v>33</v>
      </c>
      <c r="Q31" s="5" t="s">
        <v>33</v>
      </c>
      <c r="R31" s="7">
        <v>1110.6065113159098</v>
      </c>
      <c r="S31" s="43">
        <v>1110.6065113159098</v>
      </c>
      <c r="T31" s="7">
        <f t="shared" si="7"/>
        <v>24680.144695909104</v>
      </c>
      <c r="U31" s="7">
        <f t="shared" si="7"/>
        <v>24680.144695909104</v>
      </c>
      <c r="V31" s="7">
        <f>T31*0.4</f>
        <v>9872.0578783636429</v>
      </c>
      <c r="W31" s="7">
        <f>U31*0.4</f>
        <v>9872.0578783636429</v>
      </c>
      <c r="X31" s="44">
        <v>9.1999999999999993</v>
      </c>
      <c r="Y31" s="44">
        <f t="shared" si="1"/>
        <v>919.99999999999989</v>
      </c>
      <c r="Z31" s="7"/>
      <c r="AA31" s="7"/>
      <c r="AB31" s="7">
        <f>AB30</f>
        <v>5.0999999999999996</v>
      </c>
      <c r="AC31" s="7">
        <f>AB31*N31</f>
        <v>113.33333333333331</v>
      </c>
      <c r="AF31" s="132"/>
      <c r="AG31" s="133"/>
      <c r="AH31" s="133"/>
      <c r="AI31" s="131"/>
      <c r="AJ31" s="131"/>
      <c r="AK31" s="136"/>
      <c r="AL31" s="136"/>
      <c r="AM31" s="133"/>
      <c r="AN31" s="131"/>
      <c r="AO31" s="136"/>
      <c r="AP31" s="136"/>
      <c r="AQ31" s="131"/>
      <c r="AR31" s="136"/>
      <c r="AS31" s="136"/>
    </row>
    <row r="32" spans="1:46" s="63" customFormat="1" ht="18.75" x14ac:dyDescent="0.3">
      <c r="A32" s="62">
        <v>20</v>
      </c>
      <c r="B32" s="66" t="s">
        <v>55</v>
      </c>
      <c r="C32" s="62" t="s">
        <v>28</v>
      </c>
      <c r="D32" s="62">
        <v>2500</v>
      </c>
      <c r="E32" s="62" t="s">
        <v>30</v>
      </c>
      <c r="F32" s="67">
        <f t="shared" si="2"/>
        <v>31.25</v>
      </c>
      <c r="G32" s="62" t="s">
        <v>104</v>
      </c>
      <c r="H32" s="62" t="s">
        <v>29</v>
      </c>
      <c r="I32" s="62" t="s">
        <v>29</v>
      </c>
      <c r="J32" s="62">
        <v>1</v>
      </c>
      <c r="K32" s="62" t="s">
        <v>29</v>
      </c>
      <c r="L32" s="62">
        <v>80</v>
      </c>
      <c r="M32" s="68">
        <f t="shared" si="4"/>
        <v>31.25</v>
      </c>
      <c r="N32" s="68">
        <f t="shared" si="3"/>
        <v>31.25</v>
      </c>
      <c r="O32" s="68" t="s">
        <v>29</v>
      </c>
      <c r="P32" s="62" t="s">
        <v>33</v>
      </c>
      <c r="Q32" s="62" t="s">
        <v>29</v>
      </c>
      <c r="R32" s="68">
        <v>1110.6065113159098</v>
      </c>
      <c r="S32" s="69" t="s">
        <v>29</v>
      </c>
      <c r="T32" s="68">
        <f t="shared" si="7"/>
        <v>34706.453478622177</v>
      </c>
      <c r="U32" s="68" t="s">
        <v>29</v>
      </c>
      <c r="V32" s="68">
        <f>T32*0.25</f>
        <v>8676.6133696555444</v>
      </c>
      <c r="W32" s="68" t="s">
        <v>29</v>
      </c>
      <c r="X32" s="68">
        <v>1.8</v>
      </c>
      <c r="Y32" s="68">
        <f t="shared" si="1"/>
        <v>4500</v>
      </c>
      <c r="Z32" s="68"/>
      <c r="AA32" s="68"/>
      <c r="AB32" s="68"/>
      <c r="AC32" s="68"/>
      <c r="AF32" s="70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</row>
    <row r="33" spans="1:45" ht="18.75" x14ac:dyDescent="0.25">
      <c r="A33" s="5">
        <v>21</v>
      </c>
      <c r="B33" s="6" t="s">
        <v>62</v>
      </c>
      <c r="C33" s="5" t="s">
        <v>28</v>
      </c>
      <c r="D33" s="5">
        <v>2500</v>
      </c>
      <c r="E33" s="5" t="s">
        <v>30</v>
      </c>
      <c r="F33" s="16">
        <f t="shared" si="2"/>
        <v>16.666666666666668</v>
      </c>
      <c r="G33" s="5" t="s">
        <v>41</v>
      </c>
      <c r="H33" s="5" t="s">
        <v>89</v>
      </c>
      <c r="I33" s="5">
        <v>1</v>
      </c>
      <c r="J33" s="5">
        <v>1</v>
      </c>
      <c r="K33" s="5">
        <v>3</v>
      </c>
      <c r="L33" s="5">
        <v>150</v>
      </c>
      <c r="M33" s="7">
        <f t="shared" si="4"/>
        <v>16.666666666666668</v>
      </c>
      <c r="N33" s="7">
        <f t="shared" si="3"/>
        <v>16.666666666666668</v>
      </c>
      <c r="O33" s="7">
        <f>M33*K33</f>
        <v>50</v>
      </c>
      <c r="P33" s="5" t="s">
        <v>32</v>
      </c>
      <c r="Q33" s="5" t="s">
        <v>42</v>
      </c>
      <c r="R33" s="7">
        <v>1000.5464065909097</v>
      </c>
      <c r="S33" s="43">
        <v>812.06590909090937</v>
      </c>
      <c r="T33" s="7">
        <f t="shared" si="7"/>
        <v>16675.773443181828</v>
      </c>
      <c r="U33" s="7">
        <f t="shared" si="7"/>
        <v>40603.29545454547</v>
      </c>
      <c r="V33" s="7">
        <f>T33*0.4</f>
        <v>6670.3093772727316</v>
      </c>
      <c r="W33" s="7">
        <f>U33*0.4</f>
        <v>16241.318181818189</v>
      </c>
      <c r="X33" s="44"/>
      <c r="Y33" s="44"/>
      <c r="Z33" s="7"/>
      <c r="AA33" s="7">
        <v>1540</v>
      </c>
      <c r="AB33" s="7"/>
      <c r="AC33" s="7"/>
      <c r="AD33">
        <f>13.2*M33*7</f>
        <v>1540</v>
      </c>
      <c r="AF33" s="9"/>
      <c r="AG33" s="131"/>
      <c r="AH33" s="131"/>
      <c r="AI33" s="9"/>
      <c r="AJ33" s="9"/>
      <c r="AK33" s="131"/>
      <c r="AL33" s="131"/>
      <c r="AM33" s="31"/>
      <c r="AN33" s="31"/>
      <c r="AO33" s="137"/>
      <c r="AP33" s="137"/>
      <c r="AQ33" s="31"/>
      <c r="AR33" s="137"/>
      <c r="AS33" s="137"/>
    </row>
    <row r="34" spans="1:45" ht="18.75" x14ac:dyDescent="0.25">
      <c r="A34" s="5">
        <v>22</v>
      </c>
      <c r="B34" s="6" t="s">
        <v>63</v>
      </c>
      <c r="C34" s="5" t="s">
        <v>28</v>
      </c>
      <c r="D34" s="5">
        <v>400</v>
      </c>
      <c r="E34" s="5" t="s">
        <v>30</v>
      </c>
      <c r="F34" s="16">
        <f t="shared" si="2"/>
        <v>2.8571428571428572</v>
      </c>
      <c r="G34" s="5" t="s">
        <v>41</v>
      </c>
      <c r="H34" s="5" t="s">
        <v>90</v>
      </c>
      <c r="I34" s="5">
        <v>1</v>
      </c>
      <c r="J34" s="5">
        <v>1</v>
      </c>
      <c r="K34" s="5">
        <v>4</v>
      </c>
      <c r="L34" s="5">
        <v>140</v>
      </c>
      <c r="M34" s="7">
        <f t="shared" si="4"/>
        <v>2.8571428571428572</v>
      </c>
      <c r="N34" s="7">
        <f t="shared" si="3"/>
        <v>2.8571428571428572</v>
      </c>
      <c r="O34" s="7">
        <f>M34*K34</f>
        <v>11.428571428571429</v>
      </c>
      <c r="P34" s="5" t="s">
        <v>31</v>
      </c>
      <c r="Q34" s="5" t="s">
        <v>101</v>
      </c>
      <c r="R34" s="7">
        <v>901.39315909090953</v>
      </c>
      <c r="S34" s="43">
        <v>731.59090909090924</v>
      </c>
      <c r="T34" s="7">
        <f t="shared" si="7"/>
        <v>2575.4090259740274</v>
      </c>
      <c r="U34" s="7">
        <f t="shared" si="7"/>
        <v>8361.038961038963</v>
      </c>
      <c r="V34" s="7">
        <f>T34*0.4</f>
        <v>1030.163610389611</v>
      </c>
      <c r="W34" s="7">
        <f>U34*0.4</f>
        <v>3344.4155844155853</v>
      </c>
      <c r="X34" s="44"/>
      <c r="Y34" s="44"/>
      <c r="Z34" s="7"/>
      <c r="AA34" s="7">
        <f>10.3*M34*7</f>
        <v>206</v>
      </c>
      <c r="AB34" s="7"/>
      <c r="AC34" s="7"/>
      <c r="AF34" s="9"/>
      <c r="AG34" s="131"/>
      <c r="AH34" s="131"/>
      <c r="AI34" s="9"/>
      <c r="AJ34" s="9"/>
      <c r="AK34" s="131"/>
      <c r="AL34" s="131"/>
      <c r="AM34" s="31"/>
      <c r="AN34" s="31"/>
      <c r="AO34" s="137"/>
      <c r="AP34" s="137"/>
      <c r="AQ34" s="31"/>
      <c r="AR34" s="137"/>
      <c r="AS34" s="137"/>
    </row>
    <row r="35" spans="1:45" ht="18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T35" s="41">
        <f>SUM(T11:T34)</f>
        <v>251076.70847791046</v>
      </c>
      <c r="U35" s="41">
        <f t="shared" ref="U35:W35" si="8">SUM(U11:U34)</f>
        <v>105505.11560700681</v>
      </c>
      <c r="V35" s="41">
        <f t="shared" si="8"/>
        <v>57249.919876478096</v>
      </c>
      <c r="W35" s="41">
        <f t="shared" si="8"/>
        <v>37933.205162582875</v>
      </c>
      <c r="X35" s="41"/>
      <c r="Y35" s="41">
        <f>SUM(Y11:Y34)</f>
        <v>20617</v>
      </c>
      <c r="AA35" s="41">
        <f>SUM(AA11:AA34)</f>
        <v>1755.27</v>
      </c>
      <c r="AF35" s="9"/>
      <c r="AG35" s="131"/>
      <c r="AH35" s="131"/>
      <c r="AI35" s="9"/>
      <c r="AJ35" s="9"/>
      <c r="AK35" s="131"/>
      <c r="AL35" s="131"/>
      <c r="AM35" s="31"/>
      <c r="AN35" s="31"/>
      <c r="AO35" s="137"/>
      <c r="AP35" s="137"/>
      <c r="AQ35" s="31"/>
      <c r="AR35" s="137"/>
      <c r="AS35" s="137"/>
    </row>
    <row r="36" spans="1:45" ht="18.75" x14ac:dyDescent="0.3">
      <c r="A36" s="1"/>
      <c r="B36" s="21"/>
      <c r="C36" s="19"/>
      <c r="F36" s="20"/>
      <c r="G36" s="19"/>
      <c r="H36" s="19"/>
      <c r="I36" s="1"/>
      <c r="J36" s="1"/>
      <c r="M36" s="9"/>
      <c r="U36" s="132"/>
      <c r="V36" s="132"/>
      <c r="W36" s="132"/>
      <c r="X36" s="132"/>
      <c r="Y36" s="132"/>
      <c r="Z36" s="132"/>
      <c r="AA36" s="132"/>
      <c r="AB36" s="132"/>
      <c r="AC36" s="132"/>
      <c r="AF36" s="9"/>
      <c r="AG36" s="131"/>
      <c r="AH36" s="131"/>
      <c r="AI36" s="9"/>
      <c r="AJ36" s="9"/>
      <c r="AK36" s="131"/>
      <c r="AL36" s="131"/>
      <c r="AM36" s="31"/>
      <c r="AN36" s="31"/>
      <c r="AO36" s="137"/>
      <c r="AP36" s="137"/>
      <c r="AQ36" s="31"/>
      <c r="AR36" s="137"/>
      <c r="AS36" s="137"/>
    </row>
    <row r="37" spans="1:45" ht="18.75" x14ac:dyDescent="0.3">
      <c r="A37" s="140" t="s">
        <v>108</v>
      </c>
      <c r="B37" s="140"/>
      <c r="C37" s="140"/>
      <c r="D37" s="140"/>
      <c r="E37" s="140"/>
      <c r="F37" s="1"/>
      <c r="G37" s="1"/>
      <c r="H37" s="141" t="s">
        <v>123</v>
      </c>
      <c r="I37" s="141"/>
      <c r="J37" s="141"/>
      <c r="K37" s="141"/>
      <c r="L37" s="141"/>
      <c r="O37" s="132"/>
      <c r="P37" s="132"/>
      <c r="Q37" s="132"/>
      <c r="R37" s="132"/>
      <c r="S37" s="132"/>
      <c r="V37" s="9"/>
      <c r="W37" s="131"/>
      <c r="X37" s="131"/>
      <c r="Y37" s="9"/>
      <c r="Z37" s="9"/>
      <c r="AA37" s="131"/>
      <c r="AB37" s="131"/>
      <c r="AC37" s="31"/>
      <c r="AD37" s="31"/>
      <c r="AE37" s="137"/>
      <c r="AF37" s="137"/>
      <c r="AG37" s="31"/>
      <c r="AH37" s="137"/>
      <c r="AI37" s="137"/>
    </row>
    <row r="38" spans="1:45" ht="66" customHeight="1" x14ac:dyDescent="0.3">
      <c r="A38" s="46" t="s">
        <v>24</v>
      </c>
      <c r="B38" s="48" t="s">
        <v>109</v>
      </c>
      <c r="C38" s="46" t="s">
        <v>120</v>
      </c>
      <c r="D38" s="46" t="s">
        <v>121</v>
      </c>
      <c r="E38" s="48" t="s">
        <v>110</v>
      </c>
      <c r="F38" s="9"/>
      <c r="H38" s="46" t="s">
        <v>24</v>
      </c>
      <c r="I38" s="46" t="s">
        <v>124</v>
      </c>
      <c r="J38" s="46" t="s">
        <v>125</v>
      </c>
      <c r="K38" s="46" t="s">
        <v>126</v>
      </c>
      <c r="L38" s="46" t="s">
        <v>127</v>
      </c>
      <c r="O38" s="132"/>
      <c r="P38" s="132"/>
      <c r="Q38" s="132"/>
      <c r="R38" s="132"/>
      <c r="S38" s="132"/>
      <c r="V38" s="11"/>
      <c r="W38" s="131"/>
      <c r="X38" s="131"/>
      <c r="Y38" s="9"/>
      <c r="Z38" s="9"/>
      <c r="AA38" s="131"/>
      <c r="AB38" s="131"/>
      <c r="AC38" s="31"/>
      <c r="AD38" s="31"/>
      <c r="AE38" s="137"/>
      <c r="AF38" s="137"/>
      <c r="AG38" s="31"/>
      <c r="AH38" s="137"/>
      <c r="AI38" s="137"/>
    </row>
    <row r="39" spans="1:45" ht="47.25" x14ac:dyDescent="0.3">
      <c r="A39" s="46">
        <v>1</v>
      </c>
      <c r="B39" s="46" t="s">
        <v>114</v>
      </c>
      <c r="C39" s="49">
        <f>T35</f>
        <v>251076.70847791046</v>
      </c>
      <c r="D39" s="49">
        <f>U35</f>
        <v>105505.11560700681</v>
      </c>
      <c r="E39" s="49">
        <f>SUM(C39:D39)</f>
        <v>356581.82408491726</v>
      </c>
      <c r="H39" s="48">
        <v>1</v>
      </c>
      <c r="I39" s="52" t="s">
        <v>128</v>
      </c>
      <c r="J39" s="53">
        <f>Y35</f>
        <v>20617</v>
      </c>
      <c r="K39" s="54" t="s">
        <v>132</v>
      </c>
      <c r="L39" s="92">
        <f>SUM(L40:L42)</f>
        <v>953506.32132000022</v>
      </c>
      <c r="V39" s="11"/>
      <c r="W39" s="131"/>
      <c r="X39" s="131"/>
      <c r="Y39" s="9"/>
      <c r="Z39" s="9"/>
      <c r="AA39" s="131"/>
      <c r="AB39" s="131"/>
      <c r="AC39" s="31"/>
      <c r="AD39" s="31"/>
      <c r="AE39" s="137"/>
      <c r="AF39" s="137"/>
      <c r="AG39" s="31"/>
      <c r="AH39" s="137"/>
      <c r="AI39" s="137"/>
    </row>
    <row r="40" spans="1:45" ht="43.5" customHeight="1" x14ac:dyDescent="0.3">
      <c r="A40" s="46">
        <f>1+A39</f>
        <v>2</v>
      </c>
      <c r="B40" s="46" t="s">
        <v>115</v>
      </c>
      <c r="C40" s="49">
        <f>V35</f>
        <v>57249.919876478096</v>
      </c>
      <c r="D40" s="49">
        <f>W35</f>
        <v>37933.205162582875</v>
      </c>
      <c r="E40" s="49">
        <f t="shared" ref="E40:E47" si="9">SUM(C40:D40)</f>
        <v>95183.125039060978</v>
      </c>
      <c r="H40" s="48"/>
      <c r="I40" s="52" t="s">
        <v>129</v>
      </c>
      <c r="J40" s="53">
        <f>J39-J41</f>
        <v>6974.0400000000009</v>
      </c>
      <c r="K40" s="55">
        <v>42.2</v>
      </c>
      <c r="L40" s="55">
        <f>J40*K40</f>
        <v>294304.48800000007</v>
      </c>
      <c r="N40" s="1"/>
      <c r="O40" s="11"/>
      <c r="P40" s="11"/>
      <c r="Q40" s="11"/>
      <c r="R40" s="11"/>
      <c r="S40" s="11"/>
      <c r="V40" s="11"/>
      <c r="W40" s="32"/>
      <c r="X40" s="32"/>
      <c r="Y40" s="32"/>
      <c r="Z40" s="32"/>
      <c r="AA40" s="32"/>
      <c r="AB40" s="32"/>
      <c r="AC40" s="32"/>
      <c r="AD40" s="31"/>
      <c r="AE40" s="137"/>
      <c r="AF40" s="137"/>
      <c r="AG40" s="31"/>
      <c r="AH40" s="137"/>
      <c r="AI40" s="137"/>
    </row>
    <row r="41" spans="1:45" ht="31.5" x14ac:dyDescent="0.3">
      <c r="A41" s="46">
        <f t="shared" ref="A41:A45" si="10">1+A40</f>
        <v>3</v>
      </c>
      <c r="B41" s="46" t="s">
        <v>116</v>
      </c>
      <c r="C41" s="49">
        <f>(T15+T32+T31+T29)*0.05</f>
        <v>3601.6492187547324</v>
      </c>
      <c r="D41" s="49">
        <f>(U31)*0.05</f>
        <v>1234.0072347954554</v>
      </c>
      <c r="E41" s="49">
        <f t="shared" si="9"/>
        <v>4835.6564535501875</v>
      </c>
      <c r="H41" s="48"/>
      <c r="I41" s="52" t="s">
        <v>130</v>
      </c>
      <c r="J41" s="53">
        <f>Y13+Y18+Y22+Y27+Y32</f>
        <v>13642.96</v>
      </c>
      <c r="K41" s="55">
        <v>44.99</v>
      </c>
      <c r="L41" s="53">
        <f>J41*K41</f>
        <v>613796.77040000004</v>
      </c>
      <c r="N41" s="1"/>
      <c r="O41" s="11"/>
      <c r="P41" s="11"/>
      <c r="Q41" s="11"/>
      <c r="R41" s="11"/>
      <c r="S41" s="11"/>
      <c r="V41" s="9"/>
      <c r="W41" s="131"/>
      <c r="X41" s="131"/>
      <c r="Y41" s="9"/>
      <c r="Z41" s="9"/>
      <c r="AA41" s="131"/>
      <c r="AB41" s="131"/>
      <c r="AC41" s="31"/>
      <c r="AD41" s="31"/>
      <c r="AE41" s="137"/>
      <c r="AF41" s="137"/>
      <c r="AG41" s="31"/>
      <c r="AH41" s="137"/>
      <c r="AI41" s="137"/>
    </row>
    <row r="42" spans="1:45" ht="47.25" x14ac:dyDescent="0.25">
      <c r="A42" s="46">
        <f t="shared" si="10"/>
        <v>4</v>
      </c>
      <c r="B42" s="46" t="s">
        <v>117</v>
      </c>
      <c r="C42" s="49">
        <f>(T11+T12+T13+T15+T20+T24+T28+T29+T31+T32+T33)*0.05</f>
        <v>10708.208740567845</v>
      </c>
      <c r="D42" s="46">
        <f>(U28+U31)*0.05</f>
        <v>1484.1438364431826</v>
      </c>
      <c r="E42" s="49">
        <f t="shared" si="9"/>
        <v>12192.352577011028</v>
      </c>
      <c r="H42" s="48"/>
      <c r="I42" s="52" t="s">
        <v>131</v>
      </c>
      <c r="J42" s="55">
        <v>0</v>
      </c>
      <c r="K42" s="55">
        <v>0</v>
      </c>
      <c r="L42" s="53">
        <f>(L41+L40)*0.05</f>
        <v>45405.062920000011</v>
      </c>
      <c r="M42" t="s">
        <v>161</v>
      </c>
      <c r="N42" s="1"/>
      <c r="V42" s="9"/>
      <c r="W42" s="131"/>
      <c r="X42" s="131"/>
      <c r="Y42" s="9"/>
      <c r="Z42" s="9"/>
      <c r="AA42" s="131"/>
      <c r="AB42" s="131"/>
      <c r="AC42" s="31"/>
      <c r="AD42" s="31"/>
      <c r="AE42" s="137"/>
      <c r="AF42" s="137"/>
      <c r="AG42" s="31"/>
      <c r="AH42" s="137"/>
      <c r="AI42" s="137"/>
    </row>
    <row r="43" spans="1:45" ht="47.25" x14ac:dyDescent="0.25">
      <c r="A43" s="46">
        <f t="shared" si="10"/>
        <v>5</v>
      </c>
      <c r="B43" s="46" t="s">
        <v>118</v>
      </c>
      <c r="C43" s="49">
        <f>SUM(C39:C42)</f>
        <v>322636.48631371115</v>
      </c>
      <c r="D43" s="49">
        <f>SUM(D39:D42)</f>
        <v>146156.47184082834</v>
      </c>
      <c r="E43" s="49">
        <f>SUM(E39:E42)</f>
        <v>468792.95815453952</v>
      </c>
      <c r="F43" s="32"/>
      <c r="G43" s="32"/>
      <c r="H43" s="48">
        <v>2</v>
      </c>
      <c r="I43" s="52" t="s">
        <v>133</v>
      </c>
      <c r="J43" s="55">
        <f>180000</f>
        <v>180000</v>
      </c>
      <c r="K43" s="55">
        <v>13</v>
      </c>
      <c r="L43" s="55">
        <f>J43*K43</f>
        <v>2340000</v>
      </c>
      <c r="M43" s="50"/>
      <c r="N43" s="1"/>
      <c r="V43" s="9"/>
      <c r="W43" s="131"/>
      <c r="X43" s="131"/>
      <c r="Y43" s="9"/>
      <c r="Z43" s="9"/>
      <c r="AA43" s="131"/>
      <c r="AB43" s="131"/>
      <c r="AC43" s="31"/>
      <c r="AD43" s="31"/>
      <c r="AE43" s="137"/>
      <c r="AF43" s="137"/>
      <c r="AG43" s="31"/>
      <c r="AH43" s="137"/>
      <c r="AI43" s="137"/>
    </row>
    <row r="44" spans="1:45" ht="47.25" x14ac:dyDescent="0.25">
      <c r="A44" s="46">
        <f t="shared" si="10"/>
        <v>6</v>
      </c>
      <c r="B44" s="46" t="s">
        <v>119</v>
      </c>
      <c r="C44" s="86">
        <f>C43/100*8.8</f>
        <v>28392.010795606584</v>
      </c>
      <c r="D44" s="86">
        <f>D43/100*8.8</f>
        <v>12861.769521992896</v>
      </c>
      <c r="E44" s="86">
        <f>SUM(C44:D44)</f>
        <v>41253.780317599478</v>
      </c>
      <c r="F44" s="9"/>
      <c r="G44" s="9"/>
      <c r="H44" s="48">
        <v>3</v>
      </c>
      <c r="I44" s="52" t="s">
        <v>134</v>
      </c>
      <c r="J44" s="55"/>
      <c r="K44" s="54" t="s">
        <v>132</v>
      </c>
      <c r="L44" s="91">
        <f>SUM(L45:L47)</f>
        <v>1022000</v>
      </c>
      <c r="M44" s="50"/>
      <c r="N44" s="1"/>
      <c r="V44" s="9"/>
      <c r="W44" s="131"/>
      <c r="X44" s="131"/>
      <c r="Y44" s="9"/>
      <c r="Z44" s="9"/>
      <c r="AA44" s="131"/>
      <c r="AB44" s="131"/>
      <c r="AC44" s="31"/>
      <c r="AD44" s="31"/>
      <c r="AE44" s="137"/>
      <c r="AF44" s="137"/>
      <c r="AG44" s="31"/>
      <c r="AH44" s="137"/>
      <c r="AI44" s="137"/>
    </row>
    <row r="45" spans="1:45" ht="31.5" x14ac:dyDescent="0.25">
      <c r="A45" s="46">
        <f t="shared" si="10"/>
        <v>7</v>
      </c>
      <c r="B45" s="46" t="s">
        <v>113</v>
      </c>
      <c r="C45" s="49">
        <f>SUM(C43:C44)</f>
        <v>351028.49710931774</v>
      </c>
      <c r="D45" s="49">
        <f>SUM(D43:D44)</f>
        <v>159018.24136282122</v>
      </c>
      <c r="E45" s="49">
        <f t="shared" si="9"/>
        <v>510046.738472139</v>
      </c>
      <c r="F45" s="9"/>
      <c r="G45" s="9"/>
      <c r="H45" s="48"/>
      <c r="I45" s="52" t="s">
        <v>162</v>
      </c>
      <c r="J45" s="55">
        <f>J48*0.004</f>
        <v>20</v>
      </c>
      <c r="K45" s="55">
        <v>12500</v>
      </c>
      <c r="L45" s="55">
        <f>J45*K45</f>
        <v>250000</v>
      </c>
      <c r="M45" s="142" t="s">
        <v>180</v>
      </c>
      <c r="N45" s="1"/>
      <c r="V45" s="9"/>
      <c r="W45" s="131"/>
      <c r="X45" s="131"/>
      <c r="Y45" s="9"/>
      <c r="Z45" s="9"/>
      <c r="AA45" s="131"/>
      <c r="AB45" s="131"/>
      <c r="AC45" s="31"/>
      <c r="AD45" s="31"/>
      <c r="AE45" s="137"/>
      <c r="AF45" s="137"/>
      <c r="AG45" s="31"/>
      <c r="AH45" s="137"/>
      <c r="AI45" s="137"/>
    </row>
    <row r="46" spans="1:45" ht="31.5" x14ac:dyDescent="0.3">
      <c r="A46" s="46"/>
      <c r="B46" s="46" t="s">
        <v>112</v>
      </c>
      <c r="C46" s="46">
        <f>C45*0.3</f>
        <v>105308.54913279532</v>
      </c>
      <c r="D46" s="46">
        <f>D45*0.3</f>
        <v>47705.472408846363</v>
      </c>
      <c r="E46" s="49">
        <f t="shared" si="9"/>
        <v>153014.02154164168</v>
      </c>
      <c r="F46" s="9"/>
      <c r="G46" s="9"/>
      <c r="H46" s="48"/>
      <c r="I46" s="52" t="s">
        <v>135</v>
      </c>
      <c r="J46" s="55">
        <f>J48*0.002</f>
        <v>10</v>
      </c>
      <c r="K46" s="55">
        <v>17200</v>
      </c>
      <c r="L46" s="55">
        <f t="shared" ref="L46:L47" si="11">J46*K46</f>
        <v>172000</v>
      </c>
      <c r="M46" s="142"/>
      <c r="N46" s="1"/>
      <c r="S46" s="11"/>
      <c r="V46" s="9"/>
      <c r="W46" s="131"/>
      <c r="X46" s="131"/>
      <c r="Y46" s="9"/>
      <c r="Z46" s="9"/>
      <c r="AA46" s="131"/>
      <c r="AB46" s="131"/>
      <c r="AC46" s="31"/>
      <c r="AD46" s="31"/>
      <c r="AE46" s="137"/>
      <c r="AF46" s="137"/>
      <c r="AG46" s="31"/>
      <c r="AH46" s="137"/>
      <c r="AI46" s="137"/>
    </row>
    <row r="47" spans="1:45" ht="18.75" x14ac:dyDescent="0.3">
      <c r="A47" s="46"/>
      <c r="B47" s="47" t="s">
        <v>111</v>
      </c>
      <c r="C47" s="49">
        <f>SUM(C45:C46)</f>
        <v>456337.04624211305</v>
      </c>
      <c r="D47" s="49">
        <f>SUM(D45:D46)</f>
        <v>206723.71377166759</v>
      </c>
      <c r="E47" s="49">
        <f t="shared" si="9"/>
        <v>663060.76001378067</v>
      </c>
      <c r="H47" s="48"/>
      <c r="I47" s="52" t="s">
        <v>136</v>
      </c>
      <c r="J47" s="55">
        <f>J48*0.006</f>
        <v>30</v>
      </c>
      <c r="K47" s="55">
        <v>20000</v>
      </c>
      <c r="L47" s="55">
        <f t="shared" si="11"/>
        <v>600000</v>
      </c>
      <c r="M47" s="142"/>
      <c r="N47" s="1"/>
      <c r="S47" s="11"/>
      <c r="V47" s="9"/>
      <c r="W47" s="131"/>
      <c r="X47" s="131"/>
      <c r="Y47" s="9"/>
      <c r="Z47" s="9"/>
      <c r="AA47" s="131"/>
      <c r="AB47" s="131"/>
      <c r="AC47" s="31"/>
      <c r="AD47" s="31"/>
      <c r="AE47" s="137"/>
      <c r="AF47" s="137"/>
      <c r="AG47" s="31"/>
      <c r="AH47" s="137"/>
      <c r="AI47" s="137"/>
    </row>
    <row r="48" spans="1:45" ht="31.5" x14ac:dyDescent="0.25">
      <c r="E48" s="30">
        <f>E47/100</f>
        <v>6630.6076001378069</v>
      </c>
      <c r="F48" s="30" t="s">
        <v>122</v>
      </c>
      <c r="G48" s="30"/>
      <c r="H48" s="48">
        <v>4</v>
      </c>
      <c r="I48" s="56" t="s">
        <v>137</v>
      </c>
      <c r="J48" s="55">
        <v>5000</v>
      </c>
      <c r="K48" s="57">
        <v>100</v>
      </c>
      <c r="L48" s="91">
        <f>J48*K48</f>
        <v>500000</v>
      </c>
      <c r="N48" s="1"/>
      <c r="V48" s="9"/>
      <c r="W48" s="131"/>
      <c r="X48" s="131"/>
      <c r="Y48" s="9"/>
      <c r="Z48" s="9"/>
      <c r="AA48" s="131"/>
      <c r="AB48" s="131"/>
      <c r="AC48" s="31"/>
      <c r="AD48" s="31"/>
      <c r="AE48" s="137"/>
      <c r="AF48" s="137"/>
      <c r="AG48" s="31"/>
      <c r="AH48" s="137"/>
      <c r="AI48" s="137"/>
    </row>
    <row r="49" spans="1:35" ht="43.5" customHeight="1" x14ac:dyDescent="0.3">
      <c r="A49" s="1"/>
      <c r="E49" s="11"/>
      <c r="F49" s="11"/>
      <c r="H49" s="48">
        <v>5</v>
      </c>
      <c r="I49" s="52" t="s">
        <v>138</v>
      </c>
      <c r="J49" s="53">
        <f>AA35</f>
        <v>1755.27</v>
      </c>
      <c r="K49" s="55">
        <v>4.43</v>
      </c>
      <c r="L49" s="92">
        <f>J49*K49</f>
        <v>7775.8460999999998</v>
      </c>
      <c r="N49" s="1"/>
      <c r="V49" s="9"/>
      <c r="W49" s="131"/>
      <c r="X49" s="131"/>
      <c r="Y49" s="9"/>
      <c r="Z49" s="9"/>
      <c r="AA49" s="131"/>
      <c r="AB49" s="131"/>
      <c r="AC49" s="31"/>
      <c r="AD49" s="31"/>
      <c r="AE49" s="137"/>
      <c r="AF49" s="137"/>
      <c r="AG49" s="31"/>
      <c r="AH49" s="137"/>
      <c r="AI49" s="137"/>
    </row>
    <row r="50" spans="1:35" ht="41.25" customHeight="1" x14ac:dyDescent="0.3">
      <c r="F50" s="11"/>
      <c r="H50" s="48">
        <v>6</v>
      </c>
      <c r="I50" s="52" t="s">
        <v>139</v>
      </c>
      <c r="J50" s="55"/>
      <c r="K50" s="55"/>
      <c r="L50" s="91">
        <f>L51</f>
        <v>198000</v>
      </c>
      <c r="N50" s="1"/>
      <c r="V50" s="9"/>
      <c r="W50" s="131"/>
      <c r="X50" s="131"/>
      <c r="Y50" s="9"/>
      <c r="Z50" s="9"/>
      <c r="AA50" s="131"/>
      <c r="AB50" s="131"/>
      <c r="AC50" s="31"/>
      <c r="AD50" s="31"/>
      <c r="AE50" s="137"/>
      <c r="AF50" s="137"/>
      <c r="AG50" s="31"/>
      <c r="AH50" s="137"/>
      <c r="AI50" s="137"/>
    </row>
    <row r="51" spans="1:35" ht="48" x14ac:dyDescent="0.3">
      <c r="F51" s="11"/>
      <c r="H51" s="48"/>
      <c r="I51" s="52" t="s">
        <v>163</v>
      </c>
      <c r="J51" s="55">
        <f>0.65*100+1*100</f>
        <v>165</v>
      </c>
      <c r="K51" s="55">
        <v>1200</v>
      </c>
      <c r="L51" s="55">
        <f>J51*K51</f>
        <v>198000</v>
      </c>
      <c r="M51" t="s">
        <v>180</v>
      </c>
      <c r="N51" s="1"/>
      <c r="V51" s="9"/>
      <c r="W51" s="131"/>
      <c r="X51" s="131"/>
      <c r="Y51" s="9"/>
      <c r="Z51" s="9"/>
      <c r="AA51" s="131"/>
      <c r="AB51" s="131"/>
      <c r="AC51" s="31"/>
      <c r="AD51" s="31"/>
      <c r="AE51" s="137"/>
      <c r="AF51" s="137"/>
      <c r="AG51" s="31"/>
      <c r="AH51" s="137"/>
      <c r="AI51" s="137"/>
    </row>
    <row r="52" spans="1:35" ht="44.25" customHeight="1" x14ac:dyDescent="0.3">
      <c r="F52" s="11"/>
      <c r="H52" s="48">
        <v>7</v>
      </c>
      <c r="I52" s="52" t="s">
        <v>140</v>
      </c>
      <c r="J52" s="55">
        <v>0</v>
      </c>
      <c r="K52" s="55">
        <v>0</v>
      </c>
      <c r="L52" s="55">
        <v>0</v>
      </c>
      <c r="N52" s="1"/>
      <c r="V52" s="9"/>
      <c r="W52" s="131"/>
      <c r="X52" s="131"/>
      <c r="Y52" s="9"/>
      <c r="Z52" s="9"/>
      <c r="AA52" s="131"/>
      <c r="AB52" s="131"/>
      <c r="AC52" s="31"/>
      <c r="AD52" s="31"/>
      <c r="AE52" s="137"/>
      <c r="AF52" s="137"/>
      <c r="AG52" s="31"/>
      <c r="AH52" s="137"/>
      <c r="AI52" s="137"/>
    </row>
    <row r="53" spans="1:35" ht="31.5" x14ac:dyDescent="0.25">
      <c r="H53" s="48">
        <v>8</v>
      </c>
      <c r="I53" s="52" t="s">
        <v>141</v>
      </c>
      <c r="J53" s="55">
        <v>0</v>
      </c>
      <c r="K53" s="55">
        <v>0</v>
      </c>
      <c r="L53" s="81">
        <v>12000</v>
      </c>
      <c r="N53" s="1"/>
      <c r="V53" s="9"/>
      <c r="W53" s="131"/>
      <c r="X53" s="131"/>
      <c r="Y53" s="9"/>
      <c r="Z53" s="9"/>
      <c r="AA53" s="131"/>
      <c r="AB53" s="131"/>
      <c r="AC53" s="31"/>
      <c r="AD53" s="31"/>
      <c r="AE53" s="137"/>
      <c r="AF53" s="137"/>
      <c r="AG53" s="31"/>
      <c r="AH53" s="137"/>
      <c r="AI53" s="137"/>
    </row>
    <row r="54" spans="1:35" ht="18.75" x14ac:dyDescent="0.25">
      <c r="H54" s="48"/>
      <c r="I54" s="58" t="s">
        <v>142</v>
      </c>
      <c r="J54" s="55"/>
      <c r="K54" s="55"/>
      <c r="L54" s="87">
        <f>SUM(L39:L53)-L51-L44-L39</f>
        <v>5033282.1674199998</v>
      </c>
      <c r="M54" s="93"/>
      <c r="N54" s="22"/>
      <c r="V54" s="9"/>
      <c r="W54" s="131"/>
      <c r="X54" s="131"/>
      <c r="Y54" s="9"/>
      <c r="Z54" s="9"/>
      <c r="AA54" s="131"/>
      <c r="AB54" s="131"/>
      <c r="AC54" s="31"/>
      <c r="AD54" s="31"/>
      <c r="AE54" s="137"/>
      <c r="AF54" s="137"/>
      <c r="AG54" s="31"/>
      <c r="AH54" s="137"/>
      <c r="AI54" s="137"/>
    </row>
    <row r="55" spans="1:35" ht="18.75" customHeight="1" x14ac:dyDescent="0.3">
      <c r="N55" s="1"/>
      <c r="V55" s="11"/>
      <c r="W55" s="131"/>
      <c r="X55" s="131"/>
      <c r="Y55" s="9"/>
      <c r="Z55" s="9"/>
      <c r="AA55" s="131"/>
      <c r="AB55" s="131"/>
      <c r="AC55" s="9"/>
      <c r="AD55" s="31"/>
      <c r="AE55" s="137"/>
      <c r="AF55" s="137"/>
      <c r="AG55" s="31"/>
      <c r="AH55" s="137"/>
      <c r="AI55" s="137"/>
    </row>
    <row r="56" spans="1:35" ht="18.75" customHeight="1" x14ac:dyDescent="0.3">
      <c r="F56" s="61" t="s">
        <v>155</v>
      </c>
      <c r="G56" s="39"/>
      <c r="H56" s="60" t="s">
        <v>51</v>
      </c>
      <c r="N56" s="1"/>
      <c r="V56" s="11"/>
      <c r="W56" s="131"/>
      <c r="X56" s="131"/>
      <c r="Y56" s="9"/>
      <c r="Z56" s="9"/>
      <c r="AA56" s="131"/>
      <c r="AB56" s="131"/>
      <c r="AC56" s="9"/>
      <c r="AD56" s="31"/>
      <c r="AE56" s="137"/>
      <c r="AF56" s="137"/>
      <c r="AG56" s="31"/>
      <c r="AH56" s="137"/>
      <c r="AI56" s="137"/>
    </row>
    <row r="57" spans="1:35" ht="18.75" customHeight="1" x14ac:dyDescent="0.3">
      <c r="F57" s="63" t="s">
        <v>156</v>
      </c>
      <c r="G57" s="11"/>
      <c r="H57" s="60" t="s">
        <v>70</v>
      </c>
      <c r="N57" s="1"/>
    </row>
    <row r="58" spans="1:35" ht="18.75" x14ac:dyDescent="0.3">
      <c r="H58" s="62" t="s">
        <v>104</v>
      </c>
      <c r="N58" s="1"/>
      <c r="V58" s="11"/>
    </row>
    <row r="59" spans="1:35" ht="18.75" x14ac:dyDescent="0.3">
      <c r="H59" s="64" t="s">
        <v>72</v>
      </c>
      <c r="N59" s="22"/>
      <c r="V59" s="11"/>
    </row>
    <row r="60" spans="1:35" x14ac:dyDescent="0.25">
      <c r="H60" s="60" t="s">
        <v>27</v>
      </c>
      <c r="N60" s="1"/>
    </row>
    <row r="61" spans="1:35" x14ac:dyDescent="0.25">
      <c r="H61" s="60" t="s">
        <v>79</v>
      </c>
      <c r="N61" s="1"/>
    </row>
    <row r="62" spans="1:35" x14ac:dyDescent="0.25">
      <c r="H62" s="62" t="s">
        <v>88</v>
      </c>
      <c r="N62" s="1"/>
      <c r="V62" s="105"/>
      <c r="W62" s="105"/>
      <c r="X62" s="105"/>
      <c r="Y62" s="106"/>
      <c r="Z62" s="106"/>
      <c r="AA62" s="106"/>
      <c r="AB62" s="105"/>
      <c r="AC62" s="106"/>
      <c r="AD62" s="105"/>
      <c r="AE62" s="105"/>
    </row>
    <row r="63" spans="1:35" x14ac:dyDescent="0.25">
      <c r="V63" s="105"/>
      <c r="W63" s="105"/>
      <c r="X63" s="105"/>
      <c r="Y63" s="106"/>
      <c r="Z63" s="106"/>
      <c r="AA63" s="106"/>
      <c r="AB63" s="105"/>
      <c r="AC63" s="106"/>
      <c r="AD63" s="105"/>
      <c r="AE63" s="105"/>
    </row>
    <row r="64" spans="1:35" ht="60" customHeight="1" x14ac:dyDescent="0.3">
      <c r="A64" s="103" t="s">
        <v>143</v>
      </c>
      <c r="B64" s="103"/>
      <c r="C64" s="103"/>
      <c r="D64" s="103"/>
      <c r="E64" s="103"/>
      <c r="F64" s="103"/>
      <c r="G64" s="103"/>
      <c r="H64" s="103"/>
      <c r="I64" s="103"/>
      <c r="J64" s="103"/>
      <c r="M64" s="107" t="s">
        <v>176</v>
      </c>
      <c r="N64" s="107"/>
      <c r="O64" s="107"/>
      <c r="R64" s="144" t="s">
        <v>181</v>
      </c>
      <c r="S64" s="144"/>
      <c r="T64" s="144"/>
      <c r="U64" s="144"/>
      <c r="W64" s="1"/>
      <c r="X64" s="105"/>
      <c r="Y64" s="105"/>
      <c r="Z64" s="1"/>
      <c r="AA64" s="1"/>
      <c r="AB64" s="19"/>
      <c r="AC64" s="1"/>
      <c r="AD64" s="1"/>
      <c r="AE64" s="1"/>
      <c r="AF64" s="1"/>
    </row>
    <row r="65" spans="1:33" ht="60" customHeight="1" x14ac:dyDescent="0.3">
      <c r="A65" s="104" t="s">
        <v>144</v>
      </c>
      <c r="B65" s="104" t="s">
        <v>157</v>
      </c>
      <c r="C65" s="104" t="s">
        <v>145</v>
      </c>
      <c r="D65" s="104"/>
      <c r="E65" s="104" t="s">
        <v>148</v>
      </c>
      <c r="F65" s="104"/>
      <c r="G65" s="104" t="s">
        <v>150</v>
      </c>
      <c r="H65" s="104"/>
      <c r="I65" s="104" t="s">
        <v>154</v>
      </c>
      <c r="J65" s="104"/>
      <c r="M65" s="94" t="s">
        <v>109</v>
      </c>
      <c r="N65" s="94" t="s">
        <v>179</v>
      </c>
      <c r="O65" s="94" t="s">
        <v>177</v>
      </c>
      <c r="R65" s="143" t="s">
        <v>109</v>
      </c>
      <c r="S65" s="143" t="s">
        <v>179</v>
      </c>
      <c r="T65" s="143"/>
      <c r="U65" s="143" t="s">
        <v>184</v>
      </c>
      <c r="W65" s="1"/>
      <c r="X65" s="1"/>
      <c r="Y65" s="1"/>
      <c r="Z65" s="1"/>
      <c r="AA65" s="1"/>
      <c r="AB65" s="19"/>
      <c r="AC65" s="1"/>
      <c r="AD65" s="1"/>
      <c r="AE65" s="1"/>
      <c r="AF65" s="1"/>
    </row>
    <row r="66" spans="1:33" ht="40.5" customHeight="1" x14ac:dyDescent="0.3">
      <c r="A66" s="104"/>
      <c r="B66" s="104"/>
      <c r="C66" s="59" t="s">
        <v>146</v>
      </c>
      <c r="D66" s="59" t="s">
        <v>147</v>
      </c>
      <c r="E66" s="59" t="s">
        <v>149</v>
      </c>
      <c r="F66" s="59" t="s">
        <v>153</v>
      </c>
      <c r="G66" s="59" t="s">
        <v>151</v>
      </c>
      <c r="H66" s="59" t="s">
        <v>152</v>
      </c>
      <c r="I66" s="59" t="s">
        <v>151</v>
      </c>
      <c r="J66" s="59" t="s">
        <v>152</v>
      </c>
      <c r="M66" s="95" t="s">
        <v>164</v>
      </c>
      <c r="N66" s="97">
        <f>E47</f>
        <v>663060.76001378067</v>
      </c>
      <c r="O66" s="97">
        <f>$O$77*N66/$N$77</f>
        <v>9.7024176651166449</v>
      </c>
      <c r="R66" s="143"/>
      <c r="S66" s="94" t="s">
        <v>182</v>
      </c>
      <c r="T66" s="94" t="s">
        <v>183</v>
      </c>
      <c r="U66" s="143"/>
      <c r="W66" s="1"/>
      <c r="X66" s="105"/>
      <c r="Y66" s="105"/>
      <c r="Z66" s="1"/>
      <c r="AA66" s="1"/>
      <c r="AB66" s="19"/>
      <c r="AC66" s="1"/>
      <c r="AD66" s="1"/>
      <c r="AE66" s="1"/>
      <c r="AF66" s="1"/>
    </row>
    <row r="67" spans="1:33" ht="93.75" x14ac:dyDescent="0.3">
      <c r="A67" s="5" t="s">
        <v>83</v>
      </c>
      <c r="B67" s="51">
        <v>80000</v>
      </c>
      <c r="C67" s="51">
        <v>10</v>
      </c>
      <c r="D67" s="51">
        <v>7</v>
      </c>
      <c r="E67" s="51">
        <v>180</v>
      </c>
      <c r="F67" s="51">
        <f>M26*7</f>
        <v>7</v>
      </c>
      <c r="G67" s="88">
        <f>B67*C67/100/E67</f>
        <v>44.444444444444443</v>
      </c>
      <c r="H67" s="88">
        <f t="shared" ref="H67:H80" si="12">G67*F67</f>
        <v>311.11111111111109</v>
      </c>
      <c r="I67" s="90">
        <f t="shared" ref="I67:I80" si="13">B67*D67/100/E67</f>
        <v>31.111111111111111</v>
      </c>
      <c r="J67" s="90">
        <f>I67*F67</f>
        <v>217.77777777777777</v>
      </c>
      <c r="M67" s="94" t="s">
        <v>165</v>
      </c>
      <c r="N67" s="98">
        <f>L43</f>
        <v>2340000</v>
      </c>
      <c r="O67" s="97">
        <f t="shared" ref="O67:O76" si="14">$O$77*N67/$N$77</f>
        <v>34.240689097483454</v>
      </c>
      <c r="R67" s="95" t="s">
        <v>164</v>
      </c>
      <c r="S67" s="97">
        <f>'Тех. карта'!N66</f>
        <v>708789.08829059289</v>
      </c>
      <c r="T67" s="97">
        <f>N66</f>
        <v>663060.76001378067</v>
      </c>
      <c r="U67" s="97">
        <f>(S67-T67)/S67*100</f>
        <v>6.4516129032257741</v>
      </c>
      <c r="W67" s="1"/>
      <c r="X67" s="105"/>
      <c r="Y67" s="105"/>
      <c r="Z67" s="1"/>
      <c r="AA67" s="1"/>
      <c r="AB67" s="19"/>
      <c r="AC67" s="1"/>
      <c r="AD67" s="1"/>
      <c r="AE67" s="1"/>
      <c r="AF67" s="1"/>
    </row>
    <row r="68" spans="1:33" ht="56.25" x14ac:dyDescent="0.3">
      <c r="A68" s="5" t="s">
        <v>84</v>
      </c>
      <c r="B68" s="51">
        <v>600000</v>
      </c>
      <c r="C68" s="51">
        <v>10</v>
      </c>
      <c r="D68" s="51">
        <v>7</v>
      </c>
      <c r="E68" s="51">
        <v>180</v>
      </c>
      <c r="F68" s="88">
        <f>M28*7</f>
        <v>35</v>
      </c>
      <c r="G68" s="88">
        <f t="shared" ref="G68:G80" si="15">B68*C68/100/E68</f>
        <v>333.33333333333331</v>
      </c>
      <c r="H68" s="88">
        <f t="shared" si="12"/>
        <v>11666.666666666666</v>
      </c>
      <c r="I68" s="90">
        <f t="shared" si="13"/>
        <v>233.33333333333334</v>
      </c>
      <c r="J68" s="90">
        <f t="shared" ref="J68:J80" si="16">I68*F68</f>
        <v>8166.666666666667</v>
      </c>
      <c r="M68" s="94" t="s">
        <v>166</v>
      </c>
      <c r="N68" s="98">
        <f>L48+L44</f>
        <v>1522000</v>
      </c>
      <c r="O68" s="97">
        <f t="shared" si="14"/>
        <v>22.271080686482826</v>
      </c>
      <c r="R68" s="94" t="s">
        <v>165</v>
      </c>
      <c r="S68" s="97">
        <f>'Тех. карта'!N67</f>
        <v>2340000</v>
      </c>
      <c r="T68" s="97">
        <f t="shared" ref="T68:T80" si="17">N67</f>
        <v>2340000</v>
      </c>
      <c r="U68" s="97">
        <f t="shared" ref="U68:U80" si="18">(S68-T68)/S68*100</f>
        <v>0</v>
      </c>
      <c r="X68" s="1"/>
      <c r="Y68" s="105"/>
      <c r="Z68" s="105"/>
      <c r="AA68" s="1"/>
      <c r="AB68" s="1"/>
      <c r="AC68" s="19"/>
      <c r="AD68" s="1"/>
      <c r="AE68" s="1"/>
      <c r="AF68" s="1"/>
      <c r="AG68" s="1"/>
    </row>
    <row r="69" spans="1:33" ht="93.75" x14ac:dyDescent="0.3">
      <c r="A69" s="65" t="s">
        <v>75</v>
      </c>
      <c r="B69" s="84">
        <v>65000</v>
      </c>
      <c r="C69" s="84">
        <f>1/8*100</f>
        <v>12.5</v>
      </c>
      <c r="D69" s="84">
        <v>7</v>
      </c>
      <c r="E69" s="84">
        <v>160</v>
      </c>
      <c r="F69" s="89">
        <f>7*(M16+M20+M25)</f>
        <v>86.406743940990509</v>
      </c>
      <c r="G69" s="89">
        <f>B69*C69/100/E69</f>
        <v>50.78125</v>
      </c>
      <c r="H69" s="89">
        <f t="shared" si="12"/>
        <v>4387.8424657534242</v>
      </c>
      <c r="I69" s="85">
        <f t="shared" si="13"/>
        <v>28.4375</v>
      </c>
      <c r="J69" s="85">
        <f t="shared" si="16"/>
        <v>2457.1917808219177</v>
      </c>
      <c r="M69" s="94" t="s">
        <v>167</v>
      </c>
      <c r="N69" s="98">
        <f>L50</f>
        <v>198000</v>
      </c>
      <c r="O69" s="97">
        <f t="shared" si="14"/>
        <v>2.8972890774793689</v>
      </c>
      <c r="R69" s="94" t="s">
        <v>166</v>
      </c>
      <c r="S69" s="97">
        <f>'Тех. карта'!N68</f>
        <v>1654000</v>
      </c>
      <c r="T69" s="97">
        <f t="shared" si="17"/>
        <v>1522000</v>
      </c>
      <c r="U69" s="97">
        <f t="shared" si="18"/>
        <v>7.9806529625151157</v>
      </c>
      <c r="X69" s="138"/>
      <c r="Y69" s="138"/>
      <c r="Z69" s="138"/>
      <c r="AA69" s="138"/>
      <c r="AB69" s="138"/>
      <c r="AC69" s="138"/>
      <c r="AD69" s="138"/>
      <c r="AE69" s="138"/>
      <c r="AF69" s="138"/>
      <c r="AG69" s="1"/>
    </row>
    <row r="70" spans="1:33" ht="75" x14ac:dyDescent="0.3">
      <c r="A70" s="5" t="s">
        <v>88</v>
      </c>
      <c r="B70" s="51">
        <v>120000</v>
      </c>
      <c r="C70" s="51">
        <v>10</v>
      </c>
      <c r="D70" s="51">
        <v>8</v>
      </c>
      <c r="E70" s="51">
        <v>400</v>
      </c>
      <c r="F70" s="88">
        <f>M27*7</f>
        <v>0.28000000000000003</v>
      </c>
      <c r="G70" s="88">
        <f t="shared" si="15"/>
        <v>30</v>
      </c>
      <c r="H70" s="88">
        <f t="shared" si="12"/>
        <v>8.4</v>
      </c>
      <c r="I70" s="90">
        <f t="shared" si="13"/>
        <v>24</v>
      </c>
      <c r="J70" s="90">
        <f t="shared" si="16"/>
        <v>6.7200000000000006</v>
      </c>
      <c r="M70" s="94" t="s">
        <v>168</v>
      </c>
      <c r="N70" s="97">
        <f>L39</f>
        <v>953506.32132000022</v>
      </c>
      <c r="O70" s="97">
        <f t="shared" si="14"/>
        <v>13.952441667009952</v>
      </c>
      <c r="R70" s="94" t="s">
        <v>167</v>
      </c>
      <c r="S70" s="97">
        <f>'Тех. карта'!N69</f>
        <v>214500</v>
      </c>
      <c r="T70" s="97">
        <f t="shared" si="17"/>
        <v>198000</v>
      </c>
      <c r="U70" s="97">
        <f t="shared" si="18"/>
        <v>7.6923076923076925</v>
      </c>
      <c r="X70" s="139"/>
      <c r="Y70" s="139"/>
      <c r="Z70" s="139"/>
      <c r="AA70" s="139"/>
      <c r="AB70" s="139"/>
      <c r="AC70" s="139"/>
      <c r="AD70" s="139"/>
      <c r="AE70" s="139"/>
      <c r="AF70" s="139"/>
      <c r="AG70" s="1"/>
    </row>
    <row r="71" spans="1:33" ht="61.5" customHeight="1" x14ac:dyDescent="0.3">
      <c r="A71" s="5" t="s">
        <v>70</v>
      </c>
      <c r="B71" s="51">
        <v>500000</v>
      </c>
      <c r="C71" s="51">
        <v>10</v>
      </c>
      <c r="D71" s="51">
        <v>9</v>
      </c>
      <c r="E71" s="51">
        <v>900</v>
      </c>
      <c r="F71" s="88">
        <f>7*(M12+M16)</f>
        <v>305.12820512820508</v>
      </c>
      <c r="G71" s="88">
        <f t="shared" si="15"/>
        <v>55.555555555555557</v>
      </c>
      <c r="H71" s="88">
        <f t="shared" si="12"/>
        <v>16951.566951566951</v>
      </c>
      <c r="I71" s="90">
        <f t="shared" si="13"/>
        <v>50</v>
      </c>
      <c r="J71" s="90">
        <f t="shared" si="16"/>
        <v>15256.410256410254</v>
      </c>
      <c r="M71" s="94" t="s">
        <v>169</v>
      </c>
      <c r="N71" s="98">
        <f>L52</f>
        <v>0</v>
      </c>
      <c r="O71" s="97">
        <f t="shared" si="14"/>
        <v>0</v>
      </c>
      <c r="R71" s="94" t="s">
        <v>168</v>
      </c>
      <c r="S71" s="97">
        <f>'Тех. карта'!N70</f>
        <v>953506.32132000022</v>
      </c>
      <c r="T71" s="97">
        <f t="shared" si="17"/>
        <v>953506.32132000022</v>
      </c>
      <c r="U71" s="97">
        <f t="shared" si="18"/>
        <v>0</v>
      </c>
      <c r="X71" s="138"/>
      <c r="Y71" s="138"/>
      <c r="Z71" s="138"/>
      <c r="AA71" s="138"/>
      <c r="AB71" s="138"/>
      <c r="AC71" s="138"/>
      <c r="AD71" s="138"/>
      <c r="AE71" s="138"/>
      <c r="AF71" s="138"/>
    </row>
    <row r="72" spans="1:33" ht="38.25" customHeight="1" x14ac:dyDescent="0.3">
      <c r="A72" s="5" t="s">
        <v>87</v>
      </c>
      <c r="B72" s="51">
        <v>300000</v>
      </c>
      <c r="C72" s="51">
        <v>12.5</v>
      </c>
      <c r="D72" s="51">
        <v>7</v>
      </c>
      <c r="E72" s="51">
        <v>200</v>
      </c>
      <c r="F72" s="88">
        <f>M31*7</f>
        <v>155.55555555555554</v>
      </c>
      <c r="G72" s="88">
        <f t="shared" si="15"/>
        <v>187.5</v>
      </c>
      <c r="H72" s="88">
        <f t="shared" si="12"/>
        <v>29166.666666666664</v>
      </c>
      <c r="I72" s="90">
        <f t="shared" si="13"/>
        <v>105</v>
      </c>
      <c r="J72" s="90">
        <f t="shared" si="16"/>
        <v>16333.333333333332</v>
      </c>
      <c r="M72" s="94" t="s">
        <v>170</v>
      </c>
      <c r="N72" s="99">
        <f>H91</f>
        <v>403434.66287079192</v>
      </c>
      <c r="O72" s="97">
        <f t="shared" si="14"/>
        <v>5.9033678899601867</v>
      </c>
      <c r="R72" s="94" t="s">
        <v>169</v>
      </c>
      <c r="S72" s="97">
        <f>'Тех. карта'!N71</f>
        <v>0</v>
      </c>
      <c r="T72" s="97">
        <f t="shared" si="17"/>
        <v>0</v>
      </c>
      <c r="U72" s="97">
        <v>0</v>
      </c>
    </row>
    <row r="73" spans="1:33" ht="36" customHeight="1" x14ac:dyDescent="0.3">
      <c r="A73" s="65" t="s">
        <v>104</v>
      </c>
      <c r="B73" s="84">
        <v>2000000</v>
      </c>
      <c r="C73" s="85">
        <f>1/12*100</f>
        <v>8.3333333333333321</v>
      </c>
      <c r="D73" s="84">
        <v>10</v>
      </c>
      <c r="E73" s="84">
        <v>500</v>
      </c>
      <c r="F73" s="89">
        <f>(M13+M18+M22+M32)*7</f>
        <v>663.07499999999993</v>
      </c>
      <c r="G73" s="89">
        <f t="shared" si="15"/>
        <v>333.33333333333326</v>
      </c>
      <c r="H73" s="89">
        <f t="shared" si="12"/>
        <v>221024.99999999991</v>
      </c>
      <c r="I73" s="85">
        <f t="shared" si="13"/>
        <v>400</v>
      </c>
      <c r="J73" s="85">
        <f t="shared" si="16"/>
        <v>265230</v>
      </c>
      <c r="M73" s="94" t="s">
        <v>171</v>
      </c>
      <c r="N73" s="97">
        <f>J91</f>
        <v>408769.65950886492</v>
      </c>
      <c r="O73" s="97">
        <f t="shared" si="14"/>
        <v>5.9814336853535108</v>
      </c>
      <c r="R73" s="94" t="s">
        <v>170</v>
      </c>
      <c r="S73" s="97">
        <f>'Тех. карта'!N72</f>
        <v>403434.66287079192</v>
      </c>
      <c r="T73" s="97">
        <f t="shared" si="17"/>
        <v>403434.66287079192</v>
      </c>
      <c r="U73" s="97">
        <f t="shared" si="18"/>
        <v>0</v>
      </c>
    </row>
    <row r="74" spans="1:33" ht="35.25" customHeight="1" x14ac:dyDescent="0.3">
      <c r="A74" s="5" t="s">
        <v>85</v>
      </c>
      <c r="B74" s="51">
        <v>350000</v>
      </c>
      <c r="C74" s="51">
        <v>8.33</v>
      </c>
      <c r="D74" s="51">
        <v>8</v>
      </c>
      <c r="E74" s="51">
        <v>400</v>
      </c>
      <c r="F74" s="88">
        <f>M30*7</f>
        <v>142.85714285714286</v>
      </c>
      <c r="G74" s="88">
        <f t="shared" si="15"/>
        <v>72.887500000000003</v>
      </c>
      <c r="H74" s="88">
        <f t="shared" si="12"/>
        <v>10412.5</v>
      </c>
      <c r="I74" s="90">
        <f t="shared" si="13"/>
        <v>70</v>
      </c>
      <c r="J74" s="90">
        <f t="shared" si="16"/>
        <v>10000</v>
      </c>
      <c r="M74" s="94" t="s">
        <v>178</v>
      </c>
      <c r="N74" s="97">
        <f>L49</f>
        <v>7775.8460999999998</v>
      </c>
      <c r="O74" s="97">
        <f t="shared" si="14"/>
        <v>0.11378219178631589</v>
      </c>
      <c r="R74" s="94" t="s">
        <v>171</v>
      </c>
      <c r="S74" s="97">
        <f>'Тех. карта'!N73</f>
        <v>408769.65950886492</v>
      </c>
      <c r="T74" s="97">
        <f t="shared" si="17"/>
        <v>408769.65950886492</v>
      </c>
      <c r="U74" s="97">
        <f t="shared" si="18"/>
        <v>0</v>
      </c>
    </row>
    <row r="75" spans="1:33" ht="38.25" customHeight="1" x14ac:dyDescent="0.3">
      <c r="A75" s="5" t="s">
        <v>159</v>
      </c>
      <c r="B75" s="51">
        <v>98000</v>
      </c>
      <c r="C75" s="51">
        <v>8.33</v>
      </c>
      <c r="D75" s="51">
        <v>7</v>
      </c>
      <c r="E75" s="51">
        <v>300</v>
      </c>
      <c r="F75" s="88">
        <f>M25*7</f>
        <v>47.945205479452056</v>
      </c>
      <c r="G75" s="88">
        <f t="shared" si="15"/>
        <v>27.211333333333332</v>
      </c>
      <c r="H75" s="88">
        <f t="shared" si="12"/>
        <v>1304.6529680365297</v>
      </c>
      <c r="I75" s="90">
        <f t="shared" si="13"/>
        <v>22.866666666666667</v>
      </c>
      <c r="J75" s="90">
        <f t="shared" si="16"/>
        <v>1096.3470319634703</v>
      </c>
      <c r="M75" s="94" t="s">
        <v>172</v>
      </c>
      <c r="N75" s="100">
        <f>L53</f>
        <v>12000</v>
      </c>
      <c r="O75" s="97">
        <f t="shared" si="14"/>
        <v>0.17559327742299205</v>
      </c>
      <c r="R75" s="94" t="s">
        <v>178</v>
      </c>
      <c r="S75" s="97">
        <f>'Тех. карта'!N74</f>
        <v>7775.8460999999998</v>
      </c>
      <c r="T75" s="97">
        <f t="shared" si="17"/>
        <v>7775.8460999999998</v>
      </c>
      <c r="U75" s="97">
        <f t="shared" si="18"/>
        <v>0</v>
      </c>
    </row>
    <row r="76" spans="1:33" ht="37.5" customHeight="1" x14ac:dyDescent="0.3">
      <c r="A76" s="5" t="s">
        <v>81</v>
      </c>
      <c r="B76" s="51">
        <v>786500</v>
      </c>
      <c r="C76" s="51">
        <v>10</v>
      </c>
      <c r="D76" s="51">
        <v>6</v>
      </c>
      <c r="E76" s="51">
        <v>400</v>
      </c>
      <c r="F76" s="88">
        <f>M24*7</f>
        <v>66.666666666666671</v>
      </c>
      <c r="G76" s="88">
        <f t="shared" si="15"/>
        <v>196.625</v>
      </c>
      <c r="H76" s="88">
        <f t="shared" si="12"/>
        <v>13108.333333333334</v>
      </c>
      <c r="I76" s="90">
        <f t="shared" si="13"/>
        <v>117.97499999999999</v>
      </c>
      <c r="J76" s="90">
        <f t="shared" si="16"/>
        <v>7865</v>
      </c>
      <c r="M76" s="94" t="s">
        <v>173</v>
      </c>
      <c r="N76" s="98">
        <f>SUM(N66:N75)*0.05</f>
        <v>325427.36249067192</v>
      </c>
      <c r="O76" s="97">
        <f t="shared" si="14"/>
        <v>4.7619047619047628</v>
      </c>
      <c r="R76" s="94" t="s">
        <v>172</v>
      </c>
      <c r="S76" s="97">
        <f>'Тех. карта'!N75</f>
        <v>15000</v>
      </c>
      <c r="T76" s="97">
        <f t="shared" si="17"/>
        <v>12000</v>
      </c>
      <c r="U76" s="97">
        <f t="shared" si="18"/>
        <v>20</v>
      </c>
    </row>
    <row r="77" spans="1:33" ht="56.25" customHeight="1" x14ac:dyDescent="0.3">
      <c r="A77" s="5" t="s">
        <v>89</v>
      </c>
      <c r="B77" s="51">
        <v>558000</v>
      </c>
      <c r="C77" s="51">
        <v>10</v>
      </c>
      <c r="D77" s="51">
        <v>7</v>
      </c>
      <c r="E77" s="51">
        <v>400</v>
      </c>
      <c r="F77" s="88">
        <f>M33*7</f>
        <v>116.66666666666667</v>
      </c>
      <c r="G77" s="88">
        <f t="shared" si="15"/>
        <v>139.5</v>
      </c>
      <c r="H77" s="88">
        <f t="shared" si="12"/>
        <v>16275</v>
      </c>
      <c r="I77" s="90">
        <f t="shared" si="13"/>
        <v>97.65</v>
      </c>
      <c r="J77" s="90">
        <f t="shared" si="16"/>
        <v>11392.500000000002</v>
      </c>
      <c r="M77" s="96" t="s">
        <v>118</v>
      </c>
      <c r="N77" s="101">
        <f>SUM(N66:N76)</f>
        <v>6833974.6123041091</v>
      </c>
      <c r="O77" s="102">
        <v>100</v>
      </c>
      <c r="R77" s="94" t="s">
        <v>173</v>
      </c>
      <c r="S77" s="97">
        <f>'Тех. карта'!N76</f>
        <v>335288.77890451252</v>
      </c>
      <c r="T77" s="97">
        <f t="shared" si="17"/>
        <v>325427.36249067192</v>
      </c>
      <c r="U77" s="97">
        <f t="shared" si="18"/>
        <v>2.941171024589837</v>
      </c>
    </row>
    <row r="78" spans="1:33" ht="15" customHeight="1" x14ac:dyDescent="0.3">
      <c r="A78" s="5" t="s">
        <v>160</v>
      </c>
      <c r="B78" s="51">
        <v>300000</v>
      </c>
      <c r="C78" s="51">
        <v>10</v>
      </c>
      <c r="D78" s="51">
        <v>7</v>
      </c>
      <c r="E78" s="51">
        <v>300</v>
      </c>
      <c r="F78" s="88">
        <f>M20*7</f>
        <v>25</v>
      </c>
      <c r="G78" s="88">
        <f t="shared" si="15"/>
        <v>100</v>
      </c>
      <c r="H78" s="88">
        <f t="shared" si="12"/>
        <v>2500</v>
      </c>
      <c r="I78" s="90">
        <f t="shared" si="13"/>
        <v>70</v>
      </c>
      <c r="J78" s="90">
        <f t="shared" si="16"/>
        <v>1750</v>
      </c>
      <c r="M78" s="94" t="s">
        <v>174</v>
      </c>
      <c r="N78" s="98">
        <f>N77/100</f>
        <v>68339.746123041085</v>
      </c>
      <c r="O78" s="98" t="s">
        <v>132</v>
      </c>
      <c r="R78" s="96" t="s">
        <v>118</v>
      </c>
      <c r="S78" s="97">
        <f>'Тех. карта'!N77</f>
        <v>7041064.3569947621</v>
      </c>
      <c r="T78" s="97">
        <f t="shared" si="17"/>
        <v>6833974.6123041091</v>
      </c>
      <c r="U78" s="97">
        <f>(S78-T78)/S78*100</f>
        <v>2.941171024589841</v>
      </c>
    </row>
    <row r="79" spans="1:33" ht="50.25" customHeight="1" x14ac:dyDescent="0.3">
      <c r="A79" s="65" t="s">
        <v>52</v>
      </c>
      <c r="B79" s="84">
        <v>150000</v>
      </c>
      <c r="C79" s="84">
        <f>1/8*100</f>
        <v>12.5</v>
      </c>
      <c r="D79" s="84">
        <v>7</v>
      </c>
      <c r="E79" s="84">
        <v>150</v>
      </c>
      <c r="F79" s="89">
        <f>M11*7</f>
        <v>21.875</v>
      </c>
      <c r="G79" s="89">
        <f t="shared" si="15"/>
        <v>125</v>
      </c>
      <c r="H79" s="89">
        <f t="shared" si="12"/>
        <v>2734.375</v>
      </c>
      <c r="I79" s="85">
        <f t="shared" si="13"/>
        <v>70</v>
      </c>
      <c r="J79" s="85">
        <f t="shared" si="16"/>
        <v>1531.25</v>
      </c>
      <c r="M79" s="94" t="s">
        <v>175</v>
      </c>
      <c r="N79" s="98">
        <f>N77/25000</f>
        <v>273.35898449216438</v>
      </c>
      <c r="O79" s="98" t="s">
        <v>132</v>
      </c>
      <c r="R79" s="94" t="s">
        <v>174</v>
      </c>
      <c r="S79" s="97">
        <f>'Тех. карта'!N78</f>
        <v>70410.643569947628</v>
      </c>
      <c r="T79" s="97">
        <f t="shared" si="17"/>
        <v>68339.746123041085</v>
      </c>
      <c r="U79" s="97">
        <f>(S79-T79)/S79*100</f>
        <v>2.9411710245898606</v>
      </c>
    </row>
    <row r="80" spans="1:33" ht="61.5" customHeight="1" x14ac:dyDescent="0.3">
      <c r="A80" s="5" t="s">
        <v>78</v>
      </c>
      <c r="B80" s="51">
        <v>536000</v>
      </c>
      <c r="C80" s="51">
        <v>10</v>
      </c>
      <c r="D80" s="51">
        <v>8</v>
      </c>
      <c r="E80" s="51">
        <v>260</v>
      </c>
      <c r="F80" s="88">
        <f>M19*7</f>
        <v>29.787234042553191</v>
      </c>
      <c r="G80" s="88">
        <f t="shared" si="15"/>
        <v>206.15384615384616</v>
      </c>
      <c r="H80" s="88">
        <f t="shared" si="12"/>
        <v>6140.7528641571198</v>
      </c>
      <c r="I80" s="90">
        <f t="shared" si="13"/>
        <v>164.92307692307693</v>
      </c>
      <c r="J80" s="90">
        <f t="shared" si="16"/>
        <v>4912.6022913256957</v>
      </c>
      <c r="R80" s="94" t="s">
        <v>175</v>
      </c>
      <c r="S80" s="97">
        <f>'Тех. карта'!N79</f>
        <v>281.64257427979049</v>
      </c>
      <c r="T80" s="97">
        <f t="shared" si="17"/>
        <v>273.35898449216438</v>
      </c>
      <c r="U80" s="97">
        <f t="shared" si="18"/>
        <v>2.9411710245898393</v>
      </c>
    </row>
    <row r="81" spans="1:10" ht="15" customHeight="1" x14ac:dyDescent="0.25">
      <c r="A81" s="65" t="s">
        <v>27</v>
      </c>
      <c r="B81" s="84">
        <v>620000</v>
      </c>
      <c r="C81" s="84">
        <f>1/10*100</f>
        <v>10</v>
      </c>
      <c r="D81" s="84">
        <v>10</v>
      </c>
      <c r="E81" s="84">
        <v>1100</v>
      </c>
      <c r="F81" s="89">
        <f>(M17+M25+M28)*7</f>
        <v>89.406743940990523</v>
      </c>
      <c r="G81" s="89">
        <f>B81*C81/100/E81</f>
        <v>56.363636363636367</v>
      </c>
      <c r="H81" s="89">
        <f>G81*F81</f>
        <v>5039.2892039467388</v>
      </c>
      <c r="I81" s="85">
        <f>B81*D81/100/E81</f>
        <v>56.363636363636367</v>
      </c>
      <c r="J81" s="85">
        <f>I81*F81</f>
        <v>5039.2892039467388</v>
      </c>
    </row>
    <row r="82" spans="1:10" ht="15" customHeight="1" x14ac:dyDescent="0.25">
      <c r="A82" s="3" t="s">
        <v>72</v>
      </c>
      <c r="B82" s="51">
        <v>720000</v>
      </c>
      <c r="C82" s="51">
        <v>10</v>
      </c>
      <c r="D82" s="51">
        <v>10</v>
      </c>
      <c r="E82" s="51">
        <v>1300</v>
      </c>
      <c r="F82" s="88">
        <f>7*(M14+M19+M24+M29+M30+M31)</f>
        <v>437.76021614319484</v>
      </c>
      <c r="G82" s="88">
        <f t="shared" ref="G82:G90" si="19">B82*C82/100/E82</f>
        <v>55.384615384615387</v>
      </c>
      <c r="H82" s="88">
        <f t="shared" ref="H82:H90" si="20">G82*F82</f>
        <v>24245.181201776944</v>
      </c>
      <c r="I82" s="90">
        <f t="shared" ref="I82:I90" si="21">B82*D82/100/E82</f>
        <v>55.384615384615387</v>
      </c>
      <c r="J82" s="90">
        <f t="shared" ref="J82:J90" si="22">I82*F82</f>
        <v>24245.181201776944</v>
      </c>
    </row>
    <row r="83" spans="1:10" ht="15" customHeight="1" x14ac:dyDescent="0.25">
      <c r="A83" s="65" t="s">
        <v>86</v>
      </c>
      <c r="B83" s="84">
        <v>340000</v>
      </c>
      <c r="C83" s="84">
        <f>1/10*100</f>
        <v>10</v>
      </c>
      <c r="D83" s="84">
        <v>10</v>
      </c>
      <c r="E83" s="84">
        <v>200</v>
      </c>
      <c r="F83" s="89">
        <f>M29*7</f>
        <v>14.893617021276595</v>
      </c>
      <c r="G83" s="89">
        <f>B83*C83/100/E83</f>
        <v>170</v>
      </c>
      <c r="H83" s="89">
        <f t="shared" si="20"/>
        <v>2531.9148936170213</v>
      </c>
      <c r="I83" s="85">
        <f t="shared" si="21"/>
        <v>170</v>
      </c>
      <c r="J83" s="85">
        <f t="shared" si="22"/>
        <v>2531.9148936170213</v>
      </c>
    </row>
    <row r="84" spans="1:10" ht="15" customHeight="1" x14ac:dyDescent="0.25">
      <c r="A84" s="5" t="s">
        <v>71</v>
      </c>
      <c r="B84" s="51">
        <v>60000</v>
      </c>
      <c r="C84" s="51">
        <v>12.5</v>
      </c>
      <c r="D84" s="51">
        <v>9</v>
      </c>
      <c r="E84" s="51">
        <v>500</v>
      </c>
      <c r="F84" s="88">
        <f>M12*7</f>
        <v>291.66666666666663</v>
      </c>
      <c r="G84" s="88">
        <f t="shared" si="19"/>
        <v>15</v>
      </c>
      <c r="H84" s="88">
        <f t="shared" si="20"/>
        <v>4374.9999999999991</v>
      </c>
      <c r="I84" s="90">
        <f t="shared" si="21"/>
        <v>10.8</v>
      </c>
      <c r="J84" s="90">
        <f t="shared" si="22"/>
        <v>3150</v>
      </c>
    </row>
    <row r="85" spans="1:10" ht="15" customHeight="1" x14ac:dyDescent="0.25">
      <c r="A85" s="5" t="s">
        <v>74</v>
      </c>
      <c r="B85" s="51">
        <v>130000</v>
      </c>
      <c r="C85" s="51">
        <v>12.5</v>
      </c>
      <c r="D85" s="51">
        <v>9</v>
      </c>
      <c r="E85" s="51">
        <v>200</v>
      </c>
      <c r="F85" s="88">
        <f>M15*7</f>
        <v>64.81481481481481</v>
      </c>
      <c r="G85" s="88">
        <f t="shared" si="19"/>
        <v>81.25</v>
      </c>
      <c r="H85" s="88">
        <f t="shared" si="20"/>
        <v>5266.2037037037035</v>
      </c>
      <c r="I85" s="90">
        <f t="shared" si="21"/>
        <v>58.5</v>
      </c>
      <c r="J85" s="90">
        <f t="shared" si="22"/>
        <v>3791.6666666666665</v>
      </c>
    </row>
    <row r="86" spans="1:10" x14ac:dyDescent="0.25">
      <c r="A86" s="5" t="s">
        <v>77</v>
      </c>
      <c r="B86" s="51">
        <v>500000</v>
      </c>
      <c r="C86" s="51">
        <v>12.5</v>
      </c>
      <c r="D86" s="51">
        <v>8</v>
      </c>
      <c r="E86" s="51">
        <v>150</v>
      </c>
      <c r="F86" s="88">
        <f>M17*7</f>
        <v>6.4615384615384617</v>
      </c>
      <c r="G86" s="88">
        <f t="shared" si="19"/>
        <v>416.66666666666669</v>
      </c>
      <c r="H86" s="88">
        <f t="shared" si="20"/>
        <v>2692.3076923076924</v>
      </c>
      <c r="I86" s="90">
        <f t="shared" si="21"/>
        <v>266.66666666666669</v>
      </c>
      <c r="J86" s="90">
        <f t="shared" si="22"/>
        <v>1723.0769230769233</v>
      </c>
    </row>
    <row r="87" spans="1:10" x14ac:dyDescent="0.25">
      <c r="A87" s="3" t="s">
        <v>73</v>
      </c>
      <c r="B87" s="51">
        <v>95000</v>
      </c>
      <c r="C87" s="51">
        <v>12.5</v>
      </c>
      <c r="D87" s="51">
        <v>7</v>
      </c>
      <c r="E87" s="51">
        <v>120</v>
      </c>
      <c r="F87" s="88">
        <f>M14*7</f>
        <v>28</v>
      </c>
      <c r="G87" s="88">
        <f t="shared" si="19"/>
        <v>98.958333333333329</v>
      </c>
      <c r="H87" s="88">
        <f t="shared" si="20"/>
        <v>2770.833333333333</v>
      </c>
      <c r="I87" s="90">
        <f t="shared" si="21"/>
        <v>55.416666666666664</v>
      </c>
      <c r="J87" s="90">
        <f t="shared" si="22"/>
        <v>1551.6666666666665</v>
      </c>
    </row>
    <row r="88" spans="1:10" ht="21.75" customHeight="1" x14ac:dyDescent="0.25">
      <c r="A88" s="65" t="s">
        <v>51</v>
      </c>
      <c r="B88" s="84">
        <v>1000000</v>
      </c>
      <c r="C88" s="84">
        <f>1/10*100</f>
        <v>10</v>
      </c>
      <c r="D88" s="84">
        <v>10</v>
      </c>
      <c r="E88" s="84">
        <v>1000</v>
      </c>
      <c r="F88" s="89">
        <f>(M11+M15)*7</f>
        <v>86.68981481481481</v>
      </c>
      <c r="G88" s="89">
        <f t="shared" si="19"/>
        <v>100</v>
      </c>
      <c r="H88" s="89">
        <f t="shared" si="20"/>
        <v>8668.9814814814818</v>
      </c>
      <c r="I88" s="85">
        <f t="shared" si="21"/>
        <v>100</v>
      </c>
      <c r="J88" s="85">
        <f t="shared" si="22"/>
        <v>8668.9814814814818</v>
      </c>
    </row>
    <row r="89" spans="1:10" x14ac:dyDescent="0.25">
      <c r="A89" s="5" t="s">
        <v>79</v>
      </c>
      <c r="B89" s="51">
        <v>550000</v>
      </c>
      <c r="C89" s="51">
        <v>10</v>
      </c>
      <c r="D89" s="51">
        <v>10</v>
      </c>
      <c r="E89" s="51">
        <v>120</v>
      </c>
      <c r="F89" s="88">
        <f>M20*7</f>
        <v>25</v>
      </c>
      <c r="G89" s="88">
        <f t="shared" si="19"/>
        <v>458.33333333333331</v>
      </c>
      <c r="H89" s="88">
        <f t="shared" si="20"/>
        <v>11458.333333333332</v>
      </c>
      <c r="I89" s="90">
        <f t="shared" si="21"/>
        <v>458.33333333333331</v>
      </c>
      <c r="J89" s="90">
        <f t="shared" si="22"/>
        <v>11458.333333333332</v>
      </c>
    </row>
    <row r="90" spans="1:10" x14ac:dyDescent="0.25">
      <c r="A90" s="5" t="s">
        <v>90</v>
      </c>
      <c r="B90" s="51">
        <v>350000</v>
      </c>
      <c r="C90" s="51">
        <v>10</v>
      </c>
      <c r="D90" s="51">
        <v>10</v>
      </c>
      <c r="E90" s="51">
        <v>160</v>
      </c>
      <c r="F90" s="88">
        <f>M21*7*2</f>
        <v>1.7999999999999998</v>
      </c>
      <c r="G90" s="88">
        <f t="shared" si="19"/>
        <v>218.75</v>
      </c>
      <c r="H90" s="88">
        <f t="shared" si="20"/>
        <v>393.74999999999994</v>
      </c>
      <c r="I90" s="90">
        <f t="shared" si="21"/>
        <v>218.75</v>
      </c>
      <c r="J90" s="90">
        <f t="shared" si="22"/>
        <v>393.74999999999994</v>
      </c>
    </row>
    <row r="91" spans="1:10" ht="15.75" x14ac:dyDescent="0.25">
      <c r="A91" s="82" t="s">
        <v>158</v>
      </c>
      <c r="B91" s="83" t="s">
        <v>132</v>
      </c>
      <c r="C91" s="83" t="s">
        <v>132</v>
      </c>
      <c r="D91" s="83" t="s">
        <v>132</v>
      </c>
      <c r="E91" s="83" t="s">
        <v>132</v>
      </c>
      <c r="F91" s="83" t="s">
        <v>132</v>
      </c>
      <c r="G91" s="88"/>
      <c r="H91" s="88">
        <f t="shared" ref="H91:J91" si="23">SUM(H67:H90)</f>
        <v>403434.66287079192</v>
      </c>
      <c r="I91" s="90"/>
      <c r="J91" s="90">
        <f t="shared" si="23"/>
        <v>408769.65950886492</v>
      </c>
    </row>
    <row r="92" spans="1:10" x14ac:dyDescent="0.25">
      <c r="G92" s="42"/>
      <c r="H92" s="42"/>
    </row>
    <row r="118" spans="32:41" ht="18.75" x14ac:dyDescent="0.25">
      <c r="AF118" s="131"/>
      <c r="AG118" s="131"/>
      <c r="AH118" s="1"/>
      <c r="AI118" s="1"/>
      <c r="AJ118" s="1"/>
      <c r="AK118" s="1"/>
      <c r="AL118" s="1"/>
      <c r="AM118" s="1"/>
      <c r="AN118" s="1"/>
      <c r="AO118" s="1"/>
    </row>
    <row r="119" spans="32:41" ht="18.75" x14ac:dyDescent="0.25">
      <c r="AF119" s="131"/>
      <c r="AG119" s="131"/>
      <c r="AH119" s="1"/>
      <c r="AI119" s="1"/>
      <c r="AJ119" s="1"/>
      <c r="AK119" s="8"/>
      <c r="AL119" s="8"/>
      <c r="AM119" s="8"/>
      <c r="AN119" s="8"/>
      <c r="AO119" s="8"/>
    </row>
    <row r="120" spans="32:41" ht="18.75" x14ac:dyDescent="0.25">
      <c r="AF120" s="131"/>
      <c r="AG120" s="131"/>
      <c r="AH120" s="1"/>
      <c r="AI120" s="1"/>
      <c r="AJ120" s="1"/>
      <c r="AK120" s="8"/>
      <c r="AL120" s="8"/>
      <c r="AM120" s="8"/>
      <c r="AN120" s="8"/>
      <c r="AO120" s="8"/>
    </row>
    <row r="121" spans="32:41" ht="18.75" x14ac:dyDescent="0.25">
      <c r="AF121" s="131"/>
      <c r="AG121" s="131"/>
      <c r="AH121" s="1"/>
      <c r="AI121" s="1"/>
      <c r="AJ121" s="1"/>
      <c r="AK121" s="8"/>
      <c r="AL121" s="8"/>
      <c r="AM121" s="8"/>
      <c r="AN121" s="8"/>
      <c r="AO121" s="8"/>
    </row>
    <row r="122" spans="32:41" ht="18.75" x14ac:dyDescent="0.25">
      <c r="AF122" s="131"/>
      <c r="AG122" s="131"/>
      <c r="AH122" s="1"/>
      <c r="AI122" s="1"/>
      <c r="AJ122" s="1"/>
      <c r="AK122" s="8"/>
      <c r="AL122" s="8"/>
      <c r="AM122" s="8"/>
      <c r="AN122" s="8"/>
      <c r="AO122" s="8"/>
    </row>
    <row r="123" spans="32:41" ht="18.75" x14ac:dyDescent="0.25">
      <c r="AF123" s="131"/>
      <c r="AG123" s="131"/>
      <c r="AH123" s="1"/>
      <c r="AI123" s="1"/>
      <c r="AJ123" s="1"/>
      <c r="AK123" s="8"/>
      <c r="AL123" s="8"/>
      <c r="AM123" s="8"/>
      <c r="AN123" s="8"/>
      <c r="AO123" s="8"/>
    </row>
    <row r="124" spans="32:41" ht="18.75" x14ac:dyDescent="0.25">
      <c r="AF124" s="9"/>
      <c r="AG124" s="9"/>
      <c r="AH124" s="1"/>
      <c r="AI124" s="1"/>
      <c r="AJ124" s="1"/>
      <c r="AK124" s="8"/>
      <c r="AL124" s="8"/>
      <c r="AM124" s="8"/>
      <c r="AN124" s="8"/>
      <c r="AO124" s="8"/>
    </row>
    <row r="125" spans="32:41" ht="18.75" x14ac:dyDescent="0.25">
      <c r="AF125" s="131"/>
      <c r="AG125" s="131"/>
      <c r="AH125" s="1"/>
      <c r="AI125" s="1"/>
      <c r="AJ125" s="1"/>
      <c r="AK125" s="8"/>
      <c r="AL125" s="1"/>
      <c r="AM125" s="1"/>
      <c r="AN125" s="1"/>
      <c r="AO125" s="1"/>
    </row>
    <row r="126" spans="32:41" ht="18.75" x14ac:dyDescent="0.25">
      <c r="AF126" s="131"/>
      <c r="AG126" s="131"/>
      <c r="AH126" s="1"/>
      <c r="AI126" s="1"/>
      <c r="AJ126" s="1"/>
      <c r="AK126" s="8"/>
      <c r="AL126" s="1"/>
      <c r="AM126" s="1"/>
      <c r="AN126" s="1"/>
      <c r="AO126" s="1"/>
    </row>
    <row r="127" spans="32:41" ht="18.75" x14ac:dyDescent="0.25">
      <c r="AF127" s="131"/>
      <c r="AG127" s="131"/>
      <c r="AH127" s="1"/>
      <c r="AI127" s="1"/>
      <c r="AJ127" s="1"/>
      <c r="AK127" s="8"/>
      <c r="AL127" s="1"/>
      <c r="AM127" s="1"/>
      <c r="AN127" s="1"/>
      <c r="AO127" s="1"/>
    </row>
    <row r="128" spans="32:41" ht="18.75" x14ac:dyDescent="0.25">
      <c r="AF128" s="131"/>
      <c r="AG128" s="131"/>
      <c r="AH128" s="1"/>
      <c r="AI128" s="1"/>
      <c r="AJ128" s="1"/>
      <c r="AK128" s="8"/>
      <c r="AL128" s="1"/>
      <c r="AM128" s="1"/>
      <c r="AN128" s="1"/>
      <c r="AO128" s="1"/>
    </row>
    <row r="129" spans="32:41" ht="18.75" x14ac:dyDescent="0.25">
      <c r="AF129" s="131"/>
      <c r="AG129" s="131"/>
      <c r="AH129" s="1"/>
      <c r="AI129" s="1"/>
      <c r="AJ129" s="1"/>
      <c r="AK129" s="8"/>
      <c r="AL129" s="1"/>
      <c r="AM129" s="1"/>
      <c r="AN129" s="1"/>
      <c r="AO129" s="1"/>
    </row>
    <row r="130" spans="32:41" ht="18.75" x14ac:dyDescent="0.25">
      <c r="AF130" s="131"/>
      <c r="AG130" s="131"/>
      <c r="AH130" s="1"/>
      <c r="AI130" s="1"/>
      <c r="AJ130" s="1"/>
      <c r="AK130" s="8"/>
      <c r="AL130" s="1"/>
      <c r="AM130" s="1"/>
      <c r="AN130" s="1"/>
      <c r="AO130" s="1"/>
    </row>
    <row r="131" spans="32:41" ht="18.75" x14ac:dyDescent="0.25">
      <c r="AF131" s="131"/>
      <c r="AG131" s="131"/>
      <c r="AH131" s="1"/>
      <c r="AI131" s="1"/>
      <c r="AJ131" s="1"/>
      <c r="AK131" s="8"/>
      <c r="AL131" s="1"/>
      <c r="AM131" s="1"/>
      <c r="AN131" s="1"/>
      <c r="AO131" s="1"/>
    </row>
    <row r="132" spans="32:41" ht="18.75" x14ac:dyDescent="0.25">
      <c r="AF132" s="131"/>
      <c r="AG132" s="131"/>
      <c r="AH132" s="1"/>
      <c r="AI132" s="1"/>
      <c r="AJ132" s="1"/>
      <c r="AK132" s="8"/>
      <c r="AL132" s="1"/>
      <c r="AM132" s="1"/>
      <c r="AN132" s="1"/>
      <c r="AO132" s="1"/>
    </row>
    <row r="133" spans="32:41" ht="18.75" x14ac:dyDescent="0.25">
      <c r="AF133" s="131"/>
      <c r="AG133" s="131"/>
      <c r="AH133" s="1"/>
      <c r="AI133" s="1"/>
      <c r="AJ133" s="1"/>
      <c r="AK133" s="8"/>
      <c r="AL133" s="1"/>
      <c r="AM133" s="1"/>
      <c r="AN133" s="1"/>
      <c r="AO133" s="1"/>
    </row>
    <row r="134" spans="32:41" ht="18.75" x14ac:dyDescent="0.25">
      <c r="AF134" s="131"/>
      <c r="AG134" s="131"/>
      <c r="AH134" s="1"/>
      <c r="AI134" s="1"/>
      <c r="AJ134" s="1"/>
      <c r="AK134" s="8"/>
      <c r="AL134" s="1"/>
      <c r="AM134" s="1"/>
      <c r="AN134" s="1"/>
      <c r="AO134" s="1"/>
    </row>
    <row r="135" spans="32:41" ht="18.75" x14ac:dyDescent="0.25">
      <c r="AF135" s="131"/>
      <c r="AG135" s="131"/>
      <c r="AH135" s="1"/>
      <c r="AI135" s="1"/>
      <c r="AJ135" s="1"/>
      <c r="AK135" s="8"/>
      <c r="AL135" s="1"/>
      <c r="AM135" s="1"/>
      <c r="AN135" s="1"/>
      <c r="AO135" s="1"/>
    </row>
    <row r="136" spans="32:41" ht="18.75" x14ac:dyDescent="0.25">
      <c r="AF136" s="131"/>
      <c r="AG136" s="131"/>
      <c r="AH136" s="1"/>
      <c r="AI136" s="1"/>
      <c r="AJ136" s="1"/>
      <c r="AK136" s="8"/>
      <c r="AL136" s="1"/>
      <c r="AM136" s="1"/>
      <c r="AN136" s="1"/>
      <c r="AO136" s="1"/>
    </row>
    <row r="137" spans="32:41" ht="18.75" x14ac:dyDescent="0.25">
      <c r="AF137" s="131"/>
      <c r="AG137" s="131"/>
      <c r="AH137" s="1"/>
      <c r="AI137" s="1"/>
      <c r="AJ137" s="1"/>
      <c r="AK137" s="8"/>
      <c r="AL137" s="1"/>
      <c r="AM137" s="1"/>
      <c r="AN137" s="1"/>
      <c r="AO137" s="1"/>
    </row>
    <row r="138" spans="32:41" ht="18.75" x14ac:dyDescent="0.25">
      <c r="AF138" s="131"/>
      <c r="AG138" s="131"/>
      <c r="AH138" s="1"/>
      <c r="AI138" s="1"/>
      <c r="AJ138" s="1"/>
      <c r="AK138" s="8"/>
      <c r="AL138" s="1"/>
      <c r="AM138" s="1"/>
      <c r="AN138" s="1"/>
      <c r="AO138" s="1"/>
    </row>
    <row r="139" spans="32:41" ht="18.75" x14ac:dyDescent="0.25">
      <c r="AF139" s="131"/>
      <c r="AG139" s="131"/>
      <c r="AH139" s="1"/>
      <c r="AI139" s="1"/>
      <c r="AJ139" s="1"/>
      <c r="AK139" s="8"/>
      <c r="AL139" s="1"/>
      <c r="AM139" s="1"/>
      <c r="AN139" s="1"/>
      <c r="AO139" s="1"/>
    </row>
  </sheetData>
  <mergeCells count="234">
    <mergeCell ref="L4:O4"/>
    <mergeCell ref="P4:R4"/>
    <mergeCell ref="S4:U4"/>
    <mergeCell ref="L5:O5"/>
    <mergeCell ref="P5:R5"/>
    <mergeCell ref="S5:U5"/>
    <mergeCell ref="A1:AC1"/>
    <mergeCell ref="AF1:AR1"/>
    <mergeCell ref="L2:O2"/>
    <mergeCell ref="P2:R2"/>
    <mergeCell ref="S2:U2"/>
    <mergeCell ref="L3:O3"/>
    <mergeCell ref="P3:R3"/>
    <mergeCell ref="S3:U3"/>
    <mergeCell ref="A7:A9"/>
    <mergeCell ref="B7:B9"/>
    <mergeCell ref="C7:D7"/>
    <mergeCell ref="E7:F7"/>
    <mergeCell ref="G7:I7"/>
    <mergeCell ref="J7:K7"/>
    <mergeCell ref="H8:I8"/>
    <mergeCell ref="J8:J9"/>
    <mergeCell ref="K8:K9"/>
    <mergeCell ref="L7:L9"/>
    <mergeCell ref="M7:M9"/>
    <mergeCell ref="N7:O7"/>
    <mergeCell ref="P7:Q7"/>
    <mergeCell ref="R7:S7"/>
    <mergeCell ref="T7:U7"/>
    <mergeCell ref="N8:N9"/>
    <mergeCell ref="O8:O9"/>
    <mergeCell ref="P8:P9"/>
    <mergeCell ref="Q8:Q9"/>
    <mergeCell ref="AN7:AN8"/>
    <mergeCell ref="AO7:AP7"/>
    <mergeCell ref="AQ7:AQ8"/>
    <mergeCell ref="AR7:AR8"/>
    <mergeCell ref="AS7:AT7"/>
    <mergeCell ref="C8:C9"/>
    <mergeCell ref="D8:D9"/>
    <mergeCell ref="E8:E9"/>
    <mergeCell ref="F8:F9"/>
    <mergeCell ref="G8:G9"/>
    <mergeCell ref="AE7:AE8"/>
    <mergeCell ref="AF7:AF8"/>
    <mergeCell ref="AG7:AI7"/>
    <mergeCell ref="AJ7:AJ8"/>
    <mergeCell ref="AK7:AK8"/>
    <mergeCell ref="AL7:AM7"/>
    <mergeCell ref="V7:W7"/>
    <mergeCell ref="X7:Y7"/>
    <mergeCell ref="Z7:Z9"/>
    <mergeCell ref="AA7:AA9"/>
    <mergeCell ref="AB7:AB9"/>
    <mergeCell ref="AC7:AC9"/>
    <mergeCell ref="X8:X9"/>
    <mergeCell ref="Y8:Y9"/>
    <mergeCell ref="AJ14:AJ15"/>
    <mergeCell ref="AK14:AK15"/>
    <mergeCell ref="AL14:AL15"/>
    <mergeCell ref="AM14:AM15"/>
    <mergeCell ref="AE24:AF24"/>
    <mergeCell ref="AK24:AM24"/>
    <mergeCell ref="R8:R9"/>
    <mergeCell ref="S8:S9"/>
    <mergeCell ref="T8:T9"/>
    <mergeCell ref="U8:U9"/>
    <mergeCell ref="V8:V9"/>
    <mergeCell ref="W8:W9"/>
    <mergeCell ref="AM30:AM31"/>
    <mergeCell ref="AN30:AN31"/>
    <mergeCell ref="AO30:AP31"/>
    <mergeCell ref="AQ30:AQ31"/>
    <mergeCell ref="AR30:AS31"/>
    <mergeCell ref="AG32:AS32"/>
    <mergeCell ref="AS24:AT24"/>
    <mergeCell ref="AF29:AF31"/>
    <mergeCell ref="AG29:AH31"/>
    <mergeCell ref="AI29:AJ29"/>
    <mergeCell ref="AK29:AM29"/>
    <mergeCell ref="AN29:AP29"/>
    <mergeCell ref="AQ29:AS29"/>
    <mergeCell ref="AI30:AI31"/>
    <mergeCell ref="AJ30:AJ31"/>
    <mergeCell ref="AK30:AL31"/>
    <mergeCell ref="AR35:AS35"/>
    <mergeCell ref="U36:AC36"/>
    <mergeCell ref="AG36:AH36"/>
    <mergeCell ref="AK36:AL36"/>
    <mergeCell ref="AO36:AP36"/>
    <mergeCell ref="AR36:AS36"/>
    <mergeCell ref="AG33:AH33"/>
    <mergeCell ref="AK33:AL33"/>
    <mergeCell ref="AO33:AP33"/>
    <mergeCell ref="AR33:AS33"/>
    <mergeCell ref="AG34:AH34"/>
    <mergeCell ref="AK34:AL34"/>
    <mergeCell ref="AO34:AP34"/>
    <mergeCell ref="AR34:AS34"/>
    <mergeCell ref="A37:E37"/>
    <mergeCell ref="H37:L37"/>
    <mergeCell ref="O37:S37"/>
    <mergeCell ref="W37:X37"/>
    <mergeCell ref="AA37:AB37"/>
    <mergeCell ref="AE37:AF37"/>
    <mergeCell ref="AG35:AH35"/>
    <mergeCell ref="AK35:AL35"/>
    <mergeCell ref="AO35:AP35"/>
    <mergeCell ref="W39:X39"/>
    <mergeCell ref="AA39:AB39"/>
    <mergeCell ref="AE39:AF39"/>
    <mergeCell ref="AH39:AI39"/>
    <mergeCell ref="AE40:AF40"/>
    <mergeCell ref="AH40:AI40"/>
    <mergeCell ref="AH37:AI37"/>
    <mergeCell ref="O38:S38"/>
    <mergeCell ref="W38:X38"/>
    <mergeCell ref="AA38:AB38"/>
    <mergeCell ref="AE38:AF38"/>
    <mergeCell ref="AH38:AI38"/>
    <mergeCell ref="W43:X43"/>
    <mergeCell ref="AA43:AB43"/>
    <mergeCell ref="AE43:AF43"/>
    <mergeCell ref="AH43:AI43"/>
    <mergeCell ref="W44:X44"/>
    <mergeCell ref="AA44:AB44"/>
    <mergeCell ref="AE44:AF44"/>
    <mergeCell ref="AH44:AI44"/>
    <mergeCell ref="W41:X41"/>
    <mergeCell ref="AA41:AB41"/>
    <mergeCell ref="AE41:AF41"/>
    <mergeCell ref="AH41:AI41"/>
    <mergeCell ref="W42:X42"/>
    <mergeCell ref="AA42:AB42"/>
    <mergeCell ref="AE42:AF42"/>
    <mergeCell ref="AH42:AI42"/>
    <mergeCell ref="W47:X47"/>
    <mergeCell ref="AA47:AB47"/>
    <mergeCell ref="AE47:AF47"/>
    <mergeCell ref="AH47:AI47"/>
    <mergeCell ref="W48:X48"/>
    <mergeCell ref="AA48:AB48"/>
    <mergeCell ref="AE48:AF48"/>
    <mergeCell ref="AH48:AI48"/>
    <mergeCell ref="W45:X45"/>
    <mergeCell ref="AA45:AB45"/>
    <mergeCell ref="AE45:AF45"/>
    <mergeCell ref="AH45:AI45"/>
    <mergeCell ref="W46:X46"/>
    <mergeCell ref="AA46:AB46"/>
    <mergeCell ref="AE46:AF46"/>
    <mergeCell ref="AH46:AI46"/>
    <mergeCell ref="W51:X51"/>
    <mergeCell ref="AA51:AB51"/>
    <mergeCell ref="AE51:AF51"/>
    <mergeCell ref="AH51:AI51"/>
    <mergeCell ref="W52:X52"/>
    <mergeCell ref="AA52:AB52"/>
    <mergeCell ref="AE52:AF52"/>
    <mergeCell ref="AH52:AI52"/>
    <mergeCell ref="W49:X49"/>
    <mergeCell ref="AA49:AB49"/>
    <mergeCell ref="AE49:AF49"/>
    <mergeCell ref="AH49:AI49"/>
    <mergeCell ref="W50:X50"/>
    <mergeCell ref="AA50:AB50"/>
    <mergeCell ref="AE50:AF50"/>
    <mergeCell ref="AH50:AI50"/>
    <mergeCell ref="W55:X55"/>
    <mergeCell ref="AA55:AB55"/>
    <mergeCell ref="AE55:AF55"/>
    <mergeCell ref="AH55:AI55"/>
    <mergeCell ref="W56:X56"/>
    <mergeCell ref="AA56:AB56"/>
    <mergeCell ref="AE56:AF56"/>
    <mergeCell ref="AH56:AI56"/>
    <mergeCell ref="W53:X53"/>
    <mergeCell ref="AA53:AB53"/>
    <mergeCell ref="AE53:AF53"/>
    <mergeCell ref="AH53:AI53"/>
    <mergeCell ref="W54:X54"/>
    <mergeCell ref="AA54:AB54"/>
    <mergeCell ref="AE54:AF54"/>
    <mergeCell ref="AH54:AI54"/>
    <mergeCell ref="AC62:AC63"/>
    <mergeCell ref="AD62:AD63"/>
    <mergeCell ref="AE62:AE63"/>
    <mergeCell ref="A64:J64"/>
    <mergeCell ref="M64:O64"/>
    <mergeCell ref="X64:Y64"/>
    <mergeCell ref="R64:U64"/>
    <mergeCell ref="V62:V63"/>
    <mergeCell ref="W62:X63"/>
    <mergeCell ref="Y62:Y63"/>
    <mergeCell ref="Z62:Z63"/>
    <mergeCell ref="AA62:AA63"/>
    <mergeCell ref="AB62:AB63"/>
    <mergeCell ref="AF123:AG123"/>
    <mergeCell ref="X66:Y66"/>
    <mergeCell ref="X67:Y67"/>
    <mergeCell ref="Y68:Z68"/>
    <mergeCell ref="X69:AF69"/>
    <mergeCell ref="X70:AF70"/>
    <mergeCell ref="X71:AF71"/>
    <mergeCell ref="A65:A66"/>
    <mergeCell ref="B65:B66"/>
    <mergeCell ref="C65:D65"/>
    <mergeCell ref="E65:F65"/>
    <mergeCell ref="G65:H65"/>
    <mergeCell ref="I65:J65"/>
    <mergeCell ref="AF137:AG137"/>
    <mergeCell ref="AF138:AG138"/>
    <mergeCell ref="AF139:AG139"/>
    <mergeCell ref="M45:M47"/>
    <mergeCell ref="R65:R66"/>
    <mergeCell ref="S65:T65"/>
    <mergeCell ref="U65:U66"/>
    <mergeCell ref="AF131:AG131"/>
    <mergeCell ref="AF132:AG132"/>
    <mergeCell ref="AF133:AG133"/>
    <mergeCell ref="AF134:AG134"/>
    <mergeCell ref="AF135:AG135"/>
    <mergeCell ref="AF136:AG136"/>
    <mergeCell ref="AF125:AG125"/>
    <mergeCell ref="AF126:AG126"/>
    <mergeCell ref="AF127:AG127"/>
    <mergeCell ref="AF128:AG128"/>
    <mergeCell ref="AF129:AG129"/>
    <mergeCell ref="AF130:AG130"/>
    <mergeCell ref="AF118:AG118"/>
    <mergeCell ref="AF119:AG119"/>
    <mergeCell ref="AF120:AG120"/>
    <mergeCell ref="AF121:AG121"/>
    <mergeCell ref="AF122:AG1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94</v>
      </c>
      <c r="B1" t="s">
        <v>95</v>
      </c>
    </row>
    <row r="2" spans="1:2" x14ac:dyDescent="0.25">
      <c r="A2" s="34">
        <v>1</v>
      </c>
      <c r="B2" s="42">
        <f>14500/22</f>
        <v>659.09090909090912</v>
      </c>
    </row>
    <row r="3" spans="1:2" x14ac:dyDescent="0.25">
      <c r="A3" s="33">
        <v>2</v>
      </c>
      <c r="B3" s="42">
        <f>B2*1.11</f>
        <v>731.59090909090924</v>
      </c>
    </row>
    <row r="4" spans="1:2" x14ac:dyDescent="0.25">
      <c r="A4" s="33">
        <v>3</v>
      </c>
      <c r="B4" s="42">
        <f>B3*1.11</f>
        <v>812.06590909090937</v>
      </c>
    </row>
    <row r="5" spans="1:2" x14ac:dyDescent="0.25">
      <c r="A5" s="33">
        <v>4</v>
      </c>
      <c r="B5" s="42">
        <f t="shared" ref="B5:B7" si="0">B4*1.11</f>
        <v>901.39315909090953</v>
      </c>
    </row>
    <row r="6" spans="1:2" x14ac:dyDescent="0.25">
      <c r="A6" s="33">
        <v>5</v>
      </c>
      <c r="B6" s="42">
        <f t="shared" si="0"/>
        <v>1000.5464065909097</v>
      </c>
    </row>
    <row r="7" spans="1:2" x14ac:dyDescent="0.25">
      <c r="A7" s="33">
        <v>6</v>
      </c>
      <c r="B7">
        <f t="shared" si="0"/>
        <v>1110.6065113159098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Тех. карта</vt:lpstr>
      <vt:lpstr>Тарифная ставка по разряду</vt:lpstr>
      <vt:lpstr>Проектная тех.</vt:lpstr>
      <vt:lpstr>Тарифная ставка по разряду Про.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Upsy Daisy</dc:creator>
  <cp:lastModifiedBy>Денис Тудаков</cp:lastModifiedBy>
  <cp:lastPrinted>2018-10-13T18:49:48Z</cp:lastPrinted>
  <dcterms:created xsi:type="dcterms:W3CDTF">2018-10-13T18:28:35Z</dcterms:created>
  <dcterms:modified xsi:type="dcterms:W3CDTF">2025-05-09T11:41:50Z</dcterms:modified>
</cp:coreProperties>
</file>