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gmacid-my.sharepoint.com/personal/hendraksm18_mail_ugm_ac_id/Documents/"/>
    </mc:Choice>
  </mc:AlternateContent>
  <xr:revisionPtr revIDLastSave="0" documentId="8_{7F4D448D-76CD-4F97-9DFF-445076A317D4}" xr6:coauthVersionLast="47" xr6:coauthVersionMax="47" xr10:uidLastSave="{00000000-0000-0000-0000-000000000000}"/>
  <bookViews>
    <workbookView xWindow="-120" yWindow="-120" windowWidth="20730" windowHeight="11160" firstSheet="3" activeTab="3" xr2:uid="{8444D89E-ABCA-4C6E-B3A7-2C98C8C4EBB7}"/>
  </bookViews>
  <sheets>
    <sheet name="1 WR" sheetId="3" r:id="rId1"/>
    <sheet name="2 WOR" sheetId="9" r:id="rId2"/>
    <sheet name="3 WR Hansen Hurwitz" sheetId="8" r:id="rId3"/>
    <sheet name="Nyoba Thompson" sheetId="1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" i="8" l="1"/>
  <c r="Q12" i="8" s="1"/>
  <c r="Q10" i="8"/>
  <c r="Q13" i="8"/>
  <c r="Q8" i="8"/>
  <c r="M3" i="10"/>
  <c r="M4" i="10"/>
  <c r="M5" i="10"/>
  <c r="M6" i="10"/>
  <c r="M2" i="10"/>
  <c r="L6" i="10"/>
  <c r="L3" i="10"/>
  <c r="L4" i="10"/>
  <c r="L5" i="10"/>
  <c r="L2" i="10"/>
  <c r="C22" i="10"/>
  <c r="M2" i="8"/>
  <c r="N2" i="8" s="1"/>
  <c r="J20" i="9"/>
  <c r="J21" i="9" s="1"/>
  <c r="I20" i="9"/>
  <c r="H20" i="9"/>
  <c r="J19" i="9"/>
  <c r="I19" i="9"/>
  <c r="H19" i="9"/>
  <c r="I15" i="9"/>
  <c r="I21" i="9" s="1"/>
  <c r="H15" i="9"/>
  <c r="H21" i="9" s="1"/>
  <c r="I14" i="9"/>
  <c r="H14" i="9"/>
  <c r="F3" i="8"/>
  <c r="E4" i="8" s="1"/>
  <c r="D4" i="8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F21" i="8" l="1"/>
  <c r="H4" i="9"/>
  <c r="H5" i="9" s="1"/>
  <c r="H2" i="9"/>
  <c r="M6" i="8"/>
  <c r="M4" i="8"/>
  <c r="H20" i="8"/>
  <c r="H16" i="8"/>
  <c r="H12" i="8"/>
  <c r="H8" i="8"/>
  <c r="M3" i="8"/>
  <c r="H19" i="8"/>
  <c r="H15" i="8"/>
  <c r="H11" i="8"/>
  <c r="H7" i="8"/>
  <c r="H3" i="8"/>
  <c r="Q2" i="8"/>
  <c r="H18" i="8"/>
  <c r="H14" i="8"/>
  <c r="H10" i="8"/>
  <c r="H6" i="8"/>
  <c r="M5" i="8"/>
  <c r="H21" i="8"/>
  <c r="H17" i="8"/>
  <c r="H13" i="8"/>
  <c r="H9" i="8"/>
  <c r="H5" i="8"/>
  <c r="H4" i="8"/>
  <c r="F4" i="8"/>
  <c r="E5" i="8" s="1"/>
  <c r="F20" i="8"/>
  <c r="E21" i="8" s="1"/>
  <c r="F16" i="8"/>
  <c r="E17" i="8" s="1"/>
  <c r="F12" i="8"/>
  <c r="E13" i="8" s="1"/>
  <c r="F8" i="8"/>
  <c r="E9" i="8" s="1"/>
  <c r="D24" i="8"/>
  <c r="D26" i="8" s="1"/>
  <c r="F19" i="8"/>
  <c r="E20" i="8" s="1"/>
  <c r="F15" i="8"/>
  <c r="E16" i="8" s="1"/>
  <c r="F11" i="8"/>
  <c r="E12" i="8" s="1"/>
  <c r="F7" i="8"/>
  <c r="E8" i="8" s="1"/>
  <c r="F18" i="8"/>
  <c r="E19" i="8" s="1"/>
  <c r="F14" i="8"/>
  <c r="E15" i="8" s="1"/>
  <c r="F10" i="8"/>
  <c r="E11" i="8" s="1"/>
  <c r="F6" i="8"/>
  <c r="E7" i="8" s="1"/>
  <c r="F17" i="8"/>
  <c r="E18" i="8" s="1"/>
  <c r="F13" i="8"/>
  <c r="E14" i="8" s="1"/>
  <c r="F9" i="8"/>
  <c r="E10" i="8" s="1"/>
  <c r="F5" i="8"/>
  <c r="E6" i="8" s="1"/>
  <c r="Q5" i="8" l="1"/>
  <c r="N5" i="8"/>
  <c r="Q3" i="8"/>
  <c r="N3" i="8"/>
  <c r="Q4" i="8"/>
  <c r="N4" i="8"/>
  <c r="Q6" i="8"/>
  <c r="N6" i="8"/>
  <c r="H7" i="9"/>
  <c r="H8" i="9"/>
  <c r="H6" i="9"/>
  <c r="Q7" i="8"/>
  <c r="R2" i="8"/>
  <c r="R6" i="8"/>
  <c r="R3" i="8"/>
  <c r="R4" i="8"/>
  <c r="R5" i="8"/>
  <c r="O3" i="8"/>
  <c r="O5" i="8"/>
  <c r="O4" i="8"/>
  <c r="O2" i="8"/>
  <c r="O6" i="8"/>
  <c r="D28" i="8"/>
  <c r="D27" i="8"/>
  <c r="Q9" i="8" l="1"/>
  <c r="D2" i="3"/>
  <c r="D3" i="3" l="1"/>
  <c r="D4" i="3" l="1"/>
  <c r="D5" i="3" s="1"/>
  <c r="D8" i="3" l="1"/>
  <c r="D7" i="3"/>
  <c r="D6" i="3"/>
</calcChain>
</file>

<file path=xl/sharedStrings.xml><?xml version="1.0" encoding="utf-8"?>
<sst xmlns="http://schemas.openxmlformats.org/spreadsheetml/2006/main" count="125" uniqueCount="79">
  <si>
    <t>SRS</t>
  </si>
  <si>
    <t>Nilai</t>
  </si>
  <si>
    <t>Estimasi rata-rata karakteristik populasi</t>
  </si>
  <si>
    <t>Varians</t>
  </si>
  <si>
    <t>Estimasi Varians Sampling</t>
  </si>
  <si>
    <t>Standard Error</t>
  </si>
  <si>
    <t>RSE</t>
  </si>
  <si>
    <t>Batas atas Interval</t>
  </si>
  <si>
    <t>Batas bawah Interval</t>
  </si>
  <si>
    <t>1</t>
  </si>
  <si>
    <t>2</t>
  </si>
  <si>
    <t>3</t>
  </si>
  <si>
    <t>Stratified</t>
  </si>
  <si>
    <t>Batas atas</t>
  </si>
  <si>
    <t>Batas bawah</t>
  </si>
  <si>
    <t>populasi</t>
  </si>
  <si>
    <t>penimbang</t>
  </si>
  <si>
    <t>fraksi sampling</t>
  </si>
  <si>
    <t>sampel</t>
  </si>
  <si>
    <t>rata-rata</t>
  </si>
  <si>
    <t>varians</t>
  </si>
  <si>
    <t>varians rata</t>
  </si>
  <si>
    <t>No</t>
  </si>
  <si>
    <t>Nama Kecamatan</t>
  </si>
  <si>
    <t>Column1</t>
  </si>
  <si>
    <t>peluang</t>
  </si>
  <si>
    <t>f</t>
  </si>
  <si>
    <t>w</t>
  </si>
  <si>
    <t>y</t>
  </si>
  <si>
    <t>y/p</t>
  </si>
  <si>
    <t>(yi/pi-Y^pps)^2</t>
  </si>
  <si>
    <t>cumu</t>
  </si>
  <si>
    <t>bawah</t>
  </si>
  <si>
    <t>atas</t>
  </si>
  <si>
    <t>Jumlah Sampel</t>
  </si>
  <si>
    <t>Column3</t>
  </si>
  <si>
    <t>Bruyadori</t>
  </si>
  <si>
    <t>Numfor Barat</t>
  </si>
  <si>
    <t>Biak Timur</t>
  </si>
  <si>
    <t>Orkeri</t>
  </si>
  <si>
    <t>Biak Kota</t>
  </si>
  <si>
    <t>Numfor Timur</t>
  </si>
  <si>
    <t>Yendidori</t>
  </si>
  <si>
    <t>Biak Barat</t>
  </si>
  <si>
    <t>Poiru</t>
  </si>
  <si>
    <t>Unbiased estimator untuk total karakteristik Y</t>
  </si>
  <si>
    <t>Padaido</t>
  </si>
  <si>
    <t>Unbiased estimator varians untuk total karakteristik:</t>
  </si>
  <si>
    <t>Ainando Padaido</t>
  </si>
  <si>
    <t>Standard Error (Total)</t>
  </si>
  <si>
    <t>Estimator rata-rata:</t>
  </si>
  <si>
    <t>Oridek</t>
  </si>
  <si>
    <t>Varians sampling dari estimator rata-rata:</t>
  </si>
  <si>
    <t>Standard Error (Rata-rata)</t>
  </si>
  <si>
    <t>Samofa</t>
  </si>
  <si>
    <t>Biak Utara</t>
  </si>
  <si>
    <t>Andey</t>
  </si>
  <si>
    <t>Warsa</t>
  </si>
  <si>
    <t>Yawosi</t>
  </si>
  <si>
    <t>Bondifuar</t>
  </si>
  <si>
    <t>Swandiwe</t>
  </si>
  <si>
    <t>k</t>
  </si>
  <si>
    <t>AR1</t>
  </si>
  <si>
    <t>AR2</t>
  </si>
  <si>
    <t>AR3</t>
  </si>
  <si>
    <t>AR4</t>
  </si>
  <si>
    <t xml:space="preserve">effective sample size </t>
  </si>
  <si>
    <t>(Xi) Jumlah rumah tangga</t>
  </si>
  <si>
    <t>Kumulatif</t>
  </si>
  <si>
    <t>Bawah</t>
  </si>
  <si>
    <t>Atas</t>
  </si>
  <si>
    <t>xi</t>
  </si>
  <si>
    <t>yi</t>
  </si>
  <si>
    <t>pi</t>
  </si>
  <si>
    <t>phi i</t>
  </si>
  <si>
    <t>phi i j</t>
  </si>
  <si>
    <t>Gajadi deh, ribet</t>
  </si>
  <si>
    <t>Mending Rakit 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</si>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</sst>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Calibri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3" fontId="0" fillId="0" borderId="0" xfId="0" applyNumberFormat="1"/>
    <xf numFmtId="2" fontId="3" fillId="0" borderId="0" xfId="0" applyNumberFormat="1" applyFon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5" xfId="0" applyFill="1" applyBorder="1"/>
    <xf numFmtId="2" fontId="0" fillId="3" borderId="2" xfId="0" applyNumberForma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4" fillId="0" borderId="14" xfId="0" applyFont="1" applyBorder="1"/>
    <xf numFmtId="165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0" borderId="0" xfId="0" applyFont="1"/>
    <xf numFmtId="0" fontId="0" fillId="0" borderId="5" xfId="0" applyBorder="1"/>
  </cellXfs>
  <cellStyles count="1">
    <cellStyle name="Normal" xfId="0" builtinId="0"/>
  </cellStyles>
  <dxfs count="37">
    <dxf>
      <numFmt numFmtId="1" formatCode="0"/>
      <alignment horizontal="center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" formatCode="0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2" formatCode="0.00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2" formatCode="0.00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2" formatCode="0.00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numFmt numFmtId="0" formatCode="General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</dxf>
    <dxf>
      <alignment horizontal="center" vertical="center"/>
    </dxf>
    <dxf>
      <numFmt numFmtId="2" formatCode="0.00"/>
      <alignment horizontal="center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2" formatCode="0.00"/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2" formatCode="0.00"/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2" formatCode="0.00"/>
      <alignment horizontal="center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0</xdr:row>
      <xdr:rowOff>133350</xdr:rowOff>
    </xdr:from>
    <xdr:to>
      <xdr:col>8</xdr:col>
      <xdr:colOff>19050</xdr:colOff>
      <xdr:row>7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D8CEC4-5059-4C5C-A2E7-14682DA86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133350"/>
          <a:ext cx="2447925" cy="1381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0</xdr:row>
      <xdr:rowOff>133350</xdr:rowOff>
    </xdr:from>
    <xdr:to>
      <xdr:col>13</xdr:col>
      <xdr:colOff>28575</xdr:colOff>
      <xdr:row>7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A403AB-97AD-4CC7-9A0E-CA3ADAD10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4300" y="133350"/>
          <a:ext cx="3248025" cy="1419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809625</xdr:colOff>
      <xdr:row>6</xdr:row>
      <xdr:rowOff>76200</xdr:rowOff>
    </xdr:from>
    <xdr:to>
      <xdr:col>14</xdr:col>
      <xdr:colOff>314325</xdr:colOff>
      <xdr:row>10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4C53FF-B559-4C42-972A-453B06861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48700" y="1219200"/>
          <a:ext cx="2838450" cy="8096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7B6300-E4B0-4D2D-ABB1-F33B3F878819}" name="Table26" displayName="Table26" ref="A1:A36" totalsRowShown="0" headerRowDxfId="36" dataDxfId="35" headerRowBorderDxfId="34">
  <autoFilter ref="A1:A36" xr:uid="{CB6ADA1B-AE71-4B02-A91D-2E24C2500A70}"/>
  <tableColumns count="1">
    <tableColumn id="4" xr3:uid="{7A7A0D8B-9CA2-47E8-A28B-97D6FD67242B}" name="SRS" dataDxfId="3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D3706C-FF71-4F4F-992A-44C06F35BE62}" name="Table2" displayName="Table2" ref="B1:E51" totalsRowShown="0" headerRowDxfId="32" dataDxfId="31" headerRowBorderDxfId="29" tableBorderDxfId="30" totalsRowBorderDxfId="28">
  <autoFilter ref="B1:E51" xr:uid="{7F1BEA2E-45D9-4F6F-AF2C-74EB4689D35A}"/>
  <tableColumns count="4">
    <tableColumn id="1" xr3:uid="{0F1306C5-13E2-4057-990C-2383610441BC}" name="1" dataDxfId="27"/>
    <tableColumn id="6" xr3:uid="{31513346-08D9-413F-8D04-CE9CE2DF05CA}" name="2" dataDxfId="26"/>
    <tableColumn id="2" xr3:uid="{53960391-444E-40FB-9DBE-D419997C35C2}" name="3" dataDxfId="25"/>
    <tableColumn id="3" xr3:uid="{7F0C8316-055C-4247-87A5-00CF81E2F16E}" name="Stratified" dataDxfId="2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62FC32-7C8F-48C5-8A88-EE2E03B5C992}" name="Table6" displayName="Table6" ref="A2:H21" totalsRowShown="0" headerRowDxfId="23" dataDxfId="22">
  <autoFilter ref="A2:H21" xr:uid="{0789BE8B-AAD5-414A-A481-A06264902A19}"/>
  <tableColumns count="8">
    <tableColumn id="1" xr3:uid="{C9EBC61E-761C-4023-B3CA-5E3E749789C8}" name="No" dataDxfId="21"/>
    <tableColumn id="2" xr3:uid="{223694F1-118B-45EB-A801-E7FBB072729B}" name="Nama Kecamatan" dataDxfId="20"/>
    <tableColumn id="3" xr3:uid="{9AF61873-4FDC-423D-B181-C5FFC1FB6633}" name="Column1" dataDxfId="19"/>
    <tableColumn id="4" xr3:uid="{926A7469-58C8-41A7-AC62-66232236880A}" name="cumu" dataDxfId="18"/>
    <tableColumn id="5" xr3:uid="{F8B29A65-58B4-411D-9689-ABA6C9187311}" name="bawah" dataDxfId="17">
      <calculatedColumnFormula>F2+1</calculatedColumnFormula>
    </tableColumn>
    <tableColumn id="6" xr3:uid="{50B9E2D5-2669-4DAD-996E-893BF222AC9E}" name="atas" dataDxfId="16">
      <calculatedColumnFormula>Table6[[#This Row],[cumu]]</calculatedColumnFormula>
    </tableColumn>
    <tableColumn id="7" xr3:uid="{9F722586-FEF7-4B08-AFFD-7979DF94AC94}" name="Jumlah Sampel" dataDxfId="15"/>
    <tableColumn id="8" xr3:uid="{40E97790-CEB4-4B4C-8DDD-4724520DE2C1}" name="Column3" dataDxfId="14">
      <calculatedColumnFormula>Table6[[#This Row],[Column1]]/$D$21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7C69AA-E96E-4918-941F-008FDF988CC5}" name="Table7" displayName="Table7" ref="J1:R6" totalsRowShown="0" headerRowDxfId="13" dataDxfId="12" headerRowBorderDxfId="10" tableBorderDxfId="11" totalsRowBorderDxfId="9">
  <autoFilter ref="J1:R6" xr:uid="{547B6851-0022-451D-97AD-8A292E5F0762}"/>
  <tableColumns count="9">
    <tableColumn id="1" xr3:uid="{E83D06F1-9B68-4144-A173-E312B6C3AA7C}" name="No" dataDxfId="8"/>
    <tableColumn id="2" xr3:uid="{CE4DCA2F-CCB2-4532-AD78-461E71DAE01A}" name="Nama Kecamatan" dataDxfId="7"/>
    <tableColumn id="3" xr3:uid="{814400CE-260D-48DF-A30B-24AC79FEAAD0}" name="Column1" dataDxfId="6"/>
    <tableColumn id="4" xr3:uid="{21A0CAD9-71C2-4050-922B-D2F129CA2167}" name="peluang" dataDxfId="5">
      <calculatedColumnFormula>Table7[[#This Row],[Column1]]/$D$21</calculatedColumnFormula>
    </tableColumn>
    <tableColumn id="5" xr3:uid="{B1B961B0-F1EF-4745-B847-AE9155790572}" name="f" dataDxfId="4">
      <calculatedColumnFormula>M2*5</calculatedColumnFormula>
    </tableColumn>
    <tableColumn id="6" xr3:uid="{1FFE9B48-AEC9-43D5-8571-43C9148389D9}" name="w" dataDxfId="3">
      <calculatedColumnFormula>1/Table7[[#This Row],[f]]</calculatedColumnFormula>
    </tableColumn>
    <tableColumn id="7" xr3:uid="{E749A93A-57B6-48DB-8EC8-02DCBC946A86}" name="y" dataDxfId="2"/>
    <tableColumn id="8" xr3:uid="{1CFAE9C0-0B56-48A0-BB1A-BA6F568C168E}" name="y/p" dataDxfId="1">
      <calculatedColumnFormula>Table7[[#This Row],[y]]/Table7[[#This Row],[peluang]]</calculatedColumnFormula>
    </tableColumn>
    <tableColumn id="9" xr3:uid="{B6AEDC16-9AEB-456D-8CFB-9CEED51314AC}" name="(yi/pi-Y^pps)^2" dataDxfId="0">
      <calculatedColumnFormula>(Table7[[#This Row],[y/p]]-$Q$7)^2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55FA-4B55-4B2F-895D-403BFD0BD29B}">
  <dimension ref="A1:E36"/>
  <sheetViews>
    <sheetView zoomScale="115" zoomScaleNormal="115" workbookViewId="0">
      <selection activeCell="D10" sqref="D10"/>
    </sheetView>
  </sheetViews>
  <sheetFormatPr defaultRowHeight="15"/>
  <cols>
    <col min="1" max="2" width="9.140625" style="1"/>
    <col min="3" max="3" width="43.28515625" style="1" customWidth="1"/>
    <col min="4" max="4" width="22.85546875" style="1" customWidth="1"/>
    <col min="5" max="5" width="9.5703125" style="1" customWidth="1"/>
    <col min="6" max="16384" width="9.140625" style="1"/>
  </cols>
  <sheetData>
    <row r="1" spans="1:5">
      <c r="A1" s="30" t="s">
        <v>0</v>
      </c>
      <c r="C1" s="3"/>
      <c r="D1" s="3" t="s">
        <v>1</v>
      </c>
      <c r="E1"/>
    </row>
    <row r="2" spans="1:5">
      <c r="A2" s="8">
        <v>1.36</v>
      </c>
      <c r="C2" s="5" t="s">
        <v>2</v>
      </c>
      <c r="D2" s="32">
        <f>AVERAGE(Table26[SRS])</f>
        <v>3.2435714285714292</v>
      </c>
    </row>
    <row r="3" spans="1:5">
      <c r="A3" s="8">
        <v>3.16</v>
      </c>
      <c r="C3" s="2" t="s">
        <v>3</v>
      </c>
      <c r="D3" s="2">
        <f>_xlfn.VAR.S(Table26[SRS])</f>
        <v>3.3353324175824159</v>
      </c>
    </row>
    <row r="4" spans="1:5">
      <c r="A4" s="8">
        <v>4.47</v>
      </c>
      <c r="C4" s="2" t="s">
        <v>4</v>
      </c>
      <c r="D4" s="2">
        <f>D3/COUNT(Table26[SRS])</f>
        <v>0.23823802982731543</v>
      </c>
    </row>
    <row r="5" spans="1:5">
      <c r="A5" s="8">
        <v>1.97</v>
      </c>
      <c r="C5" s="2" t="s">
        <v>5</v>
      </c>
      <c r="D5" s="40">
        <f>SQRT(D4)</f>
        <v>0.48809633252803225</v>
      </c>
    </row>
    <row r="6" spans="1:5">
      <c r="A6" s="8">
        <v>3.36</v>
      </c>
      <c r="C6" s="5" t="s">
        <v>6</v>
      </c>
      <c r="D6" s="5">
        <f>D5/D2*100</f>
        <v>15.048114193773287</v>
      </c>
    </row>
    <row r="7" spans="1:5">
      <c r="A7" s="8">
        <v>2.2400000000000002</v>
      </c>
      <c r="C7" s="5" t="s">
        <v>7</v>
      </c>
      <c r="D7" s="39">
        <f>D2+D5*1.96</f>
        <v>4.2002402403263721</v>
      </c>
    </row>
    <row r="8" spans="1:5">
      <c r="A8" s="8">
        <v>5.25</v>
      </c>
      <c r="C8" s="5" t="s">
        <v>8</v>
      </c>
      <c r="D8" s="32">
        <f>D2-D5*1.96</f>
        <v>2.2869026168164859</v>
      </c>
    </row>
    <row r="9" spans="1:5">
      <c r="A9" s="8">
        <v>7.75</v>
      </c>
    </row>
    <row r="10" spans="1:5">
      <c r="A10" s="8">
        <v>1.64</v>
      </c>
    </row>
    <row r="11" spans="1:5">
      <c r="A11" s="8">
        <v>1.89</v>
      </c>
    </row>
    <row r="12" spans="1:5">
      <c r="A12" s="8">
        <v>1.42</v>
      </c>
    </row>
    <row r="13" spans="1:5">
      <c r="A13" s="8">
        <v>2.52</v>
      </c>
      <c r="D13" s="4"/>
    </row>
    <row r="14" spans="1:5">
      <c r="A14" s="8">
        <v>4.99</v>
      </c>
    </row>
    <row r="15" spans="1:5">
      <c r="A15" s="8">
        <v>3.39</v>
      </c>
    </row>
    <row r="16" spans="1:5">
      <c r="A16" s="31"/>
    </row>
    <row r="17" spans="1:4">
      <c r="A17" s="2"/>
    </row>
    <row r="18" spans="1:4">
      <c r="A18" s="2"/>
      <c r="D18" s="4"/>
    </row>
    <row r="19" spans="1:4">
      <c r="A19" s="2"/>
    </row>
    <row r="20" spans="1:4">
      <c r="A20" s="2"/>
    </row>
    <row r="21" spans="1:4">
      <c r="A21" s="2"/>
    </row>
    <row r="22" spans="1:4">
      <c r="A22" s="2"/>
    </row>
    <row r="23" spans="1:4">
      <c r="A23" s="2"/>
    </row>
    <row r="24" spans="1:4">
      <c r="A24" s="2"/>
    </row>
    <row r="25" spans="1:4">
      <c r="A25" s="2"/>
    </row>
    <row r="26" spans="1:4">
      <c r="A26" s="2"/>
    </row>
    <row r="27" spans="1:4">
      <c r="A27" s="2"/>
    </row>
    <row r="28" spans="1:4">
      <c r="A28" s="2"/>
    </row>
    <row r="29" spans="1:4">
      <c r="A29" s="2"/>
    </row>
    <row r="30" spans="1:4">
      <c r="A30" s="2"/>
    </row>
    <row r="31" spans="1:4">
      <c r="A31" s="2"/>
    </row>
    <row r="32" spans="1: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3C1B-D9D2-4B4E-A3EF-37193BD8E2EE}">
  <dimension ref="B1:J51"/>
  <sheetViews>
    <sheetView workbookViewId="0">
      <selection activeCell="G41" sqref="G41"/>
    </sheetView>
  </sheetViews>
  <sheetFormatPr defaultRowHeight="15"/>
  <cols>
    <col min="1" max="3" width="9.140625" style="1"/>
    <col min="4" max="4" width="9.7109375" style="1" customWidth="1"/>
    <col min="5" max="5" width="13.42578125" style="1" customWidth="1"/>
    <col min="6" max="6" width="9.140625" style="1"/>
    <col min="7" max="7" width="40.140625" style="1" customWidth="1"/>
    <col min="8" max="8" width="13.5703125" style="1" customWidth="1"/>
    <col min="9" max="9" width="13.7109375" style="1" customWidth="1"/>
    <col min="10" max="10" width="9.28515625" style="1" customWidth="1"/>
    <col min="11" max="11" width="9.5703125" style="1" customWidth="1"/>
    <col min="12" max="16384" width="9.140625" style="1"/>
  </cols>
  <sheetData>
    <row r="1" spans="2:10">
      <c r="B1" s="15" t="s">
        <v>9</v>
      </c>
      <c r="C1" s="13" t="s">
        <v>10</v>
      </c>
      <c r="D1" s="13" t="s">
        <v>11</v>
      </c>
      <c r="E1" s="19" t="s">
        <v>12</v>
      </c>
      <c r="G1" s="8"/>
      <c r="H1" s="8" t="s">
        <v>12</v>
      </c>
    </row>
    <row r="2" spans="2:10" ht="15.75">
      <c r="B2" s="16">
        <v>120</v>
      </c>
      <c r="C2" s="12">
        <v>55</v>
      </c>
      <c r="D2" s="12">
        <v>37</v>
      </c>
      <c r="E2" s="20">
        <v>120</v>
      </c>
      <c r="F2" s="7"/>
      <c r="G2" s="29" t="s">
        <v>2</v>
      </c>
      <c r="H2" s="29">
        <f>H14*H19+I14*I19+J14*J19</f>
        <v>73.38</v>
      </c>
    </row>
    <row r="3" spans="2:10" ht="15.75">
      <c r="B3" s="16">
        <v>121</v>
      </c>
      <c r="C3" s="12">
        <v>65</v>
      </c>
      <c r="D3" s="12">
        <v>32</v>
      </c>
      <c r="E3" s="20">
        <v>121</v>
      </c>
      <c r="F3" s="7"/>
      <c r="G3" s="8"/>
      <c r="H3" s="8"/>
    </row>
    <row r="4" spans="2:10" ht="15.75">
      <c r="B4" s="16">
        <v>130</v>
      </c>
      <c r="C4" s="12">
        <v>53</v>
      </c>
      <c r="D4" s="12">
        <v>24</v>
      </c>
      <c r="E4" s="20">
        <v>130</v>
      </c>
      <c r="F4" s="7"/>
      <c r="G4" s="8" t="s">
        <v>4</v>
      </c>
      <c r="H4" s="8">
        <f>H14^2*H21+I14^2*I21+J14^2*J21</f>
        <v>1.5611904761904718</v>
      </c>
    </row>
    <row r="5" spans="2:10" ht="15.75">
      <c r="B5" s="16">
        <v>160</v>
      </c>
      <c r="C5" s="12">
        <v>60</v>
      </c>
      <c r="D5" s="12">
        <v>28</v>
      </c>
      <c r="E5" s="20">
        <v>160</v>
      </c>
      <c r="F5" s="7"/>
      <c r="G5" s="29" t="s">
        <v>5</v>
      </c>
      <c r="H5" s="33">
        <f>SQRT(H4)</f>
        <v>1.249476080679607</v>
      </c>
    </row>
    <row r="6" spans="2:10" ht="15.75">
      <c r="B6" s="16">
        <v>130</v>
      </c>
      <c r="C6" s="12">
        <v>70</v>
      </c>
      <c r="D6" s="12">
        <v>27</v>
      </c>
      <c r="E6" s="20">
        <v>130</v>
      </c>
      <c r="F6" s="7"/>
      <c r="G6" s="29" t="s">
        <v>6</v>
      </c>
      <c r="H6" s="33">
        <f>H5/H2*100</f>
        <v>1.702747452547843</v>
      </c>
    </row>
    <row r="7" spans="2:10" ht="15.75">
      <c r="B7" s="16">
        <v>110</v>
      </c>
      <c r="C7" s="12">
        <v>64</v>
      </c>
      <c r="D7" s="12">
        <v>25</v>
      </c>
      <c r="E7" s="20">
        <v>110</v>
      </c>
      <c r="F7" s="7"/>
      <c r="G7" s="29" t="s">
        <v>13</v>
      </c>
      <c r="H7" s="33">
        <f>H2+H5*1.96</f>
        <v>75.828973118132026</v>
      </c>
    </row>
    <row r="8" spans="2:10" ht="15.75">
      <c r="B8" s="16">
        <v>140</v>
      </c>
      <c r="C8" s="12">
        <v>63</v>
      </c>
      <c r="D8" s="12">
        <v>30</v>
      </c>
      <c r="E8" s="20">
        <v>140</v>
      </c>
      <c r="F8" s="7"/>
      <c r="G8" s="29" t="s">
        <v>14</v>
      </c>
      <c r="H8" s="33">
        <f>H2-H5*1.96</f>
        <v>70.931026881867965</v>
      </c>
    </row>
    <row r="9" spans="2:10" ht="15.75">
      <c r="B9" s="16">
        <v>110</v>
      </c>
      <c r="C9" s="12">
        <v>60</v>
      </c>
      <c r="D9" s="12">
        <v>35</v>
      </c>
      <c r="E9" s="20">
        <v>110</v>
      </c>
      <c r="F9" s="7"/>
    </row>
    <row r="10" spans="2:10" ht="15.75">
      <c r="B10" s="16">
        <v>130</v>
      </c>
      <c r="C10" s="12">
        <v>59</v>
      </c>
      <c r="D10" s="12">
        <v>22</v>
      </c>
      <c r="E10" s="20">
        <v>130</v>
      </c>
      <c r="F10" s="7"/>
    </row>
    <row r="11" spans="2:10" ht="15.75">
      <c r="B11" s="16">
        <v>100</v>
      </c>
      <c r="C11" s="12">
        <v>63</v>
      </c>
      <c r="D11" s="12">
        <v>43</v>
      </c>
      <c r="E11" s="20">
        <v>100</v>
      </c>
      <c r="F11" s="7"/>
    </row>
    <row r="12" spans="2:10" ht="15.75">
      <c r="B12" s="16">
        <v>110</v>
      </c>
      <c r="C12" s="12">
        <v>62</v>
      </c>
      <c r="D12" s="12"/>
      <c r="E12" s="20">
        <v>110</v>
      </c>
      <c r="F12" s="7"/>
    </row>
    <row r="13" spans="2:10" ht="15.75">
      <c r="B13" s="16">
        <v>120</v>
      </c>
      <c r="C13" s="12">
        <v>58</v>
      </c>
      <c r="D13" s="12"/>
      <c r="E13" s="20">
        <v>120</v>
      </c>
      <c r="F13" s="7"/>
      <c r="G13" s="9" t="s">
        <v>15</v>
      </c>
      <c r="H13" s="10" t="s">
        <v>9</v>
      </c>
      <c r="I13" s="10" t="s">
        <v>10</v>
      </c>
      <c r="J13" s="10" t="s">
        <v>11</v>
      </c>
    </row>
    <row r="14" spans="2:10" ht="15.75">
      <c r="B14" s="16">
        <v>125</v>
      </c>
      <c r="C14" s="12">
        <v>64</v>
      </c>
      <c r="D14" s="12"/>
      <c r="E14" s="20">
        <v>125</v>
      </c>
      <c r="F14" s="7"/>
      <c r="G14" s="9" t="s">
        <v>16</v>
      </c>
      <c r="H14" s="8">
        <f>60/200</f>
        <v>0.3</v>
      </c>
      <c r="I14" s="8">
        <f>100/200</f>
        <v>0.5</v>
      </c>
      <c r="J14" s="8">
        <v>0.2</v>
      </c>
    </row>
    <row r="15" spans="2:10" ht="15.75">
      <c r="B15" s="16">
        <v>120</v>
      </c>
      <c r="C15" s="12">
        <v>65</v>
      </c>
      <c r="D15" s="12"/>
      <c r="E15" s="20">
        <v>120</v>
      </c>
      <c r="F15" s="7"/>
      <c r="G15" s="9" t="s">
        <v>17</v>
      </c>
      <c r="H15" s="8">
        <f>15/60</f>
        <v>0.25</v>
      </c>
      <c r="I15" s="8">
        <f>25/100</f>
        <v>0.25</v>
      </c>
      <c r="J15" s="8">
        <v>0.25</v>
      </c>
    </row>
    <row r="16" spans="2:10" ht="15.75">
      <c r="B16" s="16">
        <v>150</v>
      </c>
      <c r="C16" s="12">
        <v>65</v>
      </c>
      <c r="D16" s="12"/>
      <c r="E16" s="20">
        <v>150</v>
      </c>
      <c r="F16" s="7"/>
    </row>
    <row r="17" spans="2:10" ht="15.75">
      <c r="B17" s="16"/>
      <c r="C17" s="12">
        <v>60</v>
      </c>
      <c r="D17" s="12"/>
      <c r="E17" s="20">
        <v>55</v>
      </c>
      <c r="F17" s="7"/>
    </row>
    <row r="18" spans="2:10" ht="15.75">
      <c r="B18" s="16"/>
      <c r="C18" s="12">
        <v>50</v>
      </c>
      <c r="D18" s="12"/>
      <c r="E18" s="20">
        <v>65</v>
      </c>
      <c r="F18" s="7"/>
      <c r="G18" s="9" t="s">
        <v>18</v>
      </c>
      <c r="H18" s="10" t="s">
        <v>9</v>
      </c>
      <c r="I18" s="10" t="s">
        <v>10</v>
      </c>
      <c r="J18" s="10" t="s">
        <v>11</v>
      </c>
    </row>
    <row r="19" spans="2:10" ht="15.75">
      <c r="B19" s="16"/>
      <c r="C19" s="12">
        <v>55</v>
      </c>
      <c r="D19" s="12"/>
      <c r="E19" s="20">
        <v>53</v>
      </c>
      <c r="F19" s="7"/>
      <c r="G19" s="9" t="s">
        <v>19</v>
      </c>
      <c r="H19" s="8">
        <f>AVERAGE(Table2[1])</f>
        <v>125.06666666666666</v>
      </c>
      <c r="I19" s="8">
        <f>AVERAGE(Table2[2])</f>
        <v>59.6</v>
      </c>
      <c r="J19" s="8">
        <f>AVERAGE(Table2[3])</f>
        <v>30.3</v>
      </c>
    </row>
    <row r="20" spans="2:10" ht="15.75">
      <c r="B20" s="16"/>
      <c r="C20" s="12">
        <v>62</v>
      </c>
      <c r="D20" s="12"/>
      <c r="E20" s="20">
        <v>60</v>
      </c>
      <c r="F20" s="7"/>
      <c r="G20" s="9" t="s">
        <v>20</v>
      </c>
      <c r="H20" s="8">
        <f>_xlfn.VAR.S(Table2[1])</f>
        <v>252.92380952380856</v>
      </c>
      <c r="I20" s="8">
        <f>_xlfn.VAR.S(Table2[2])</f>
        <v>39.333333333333336</v>
      </c>
      <c r="J20" s="8">
        <f>_xlfn.VAR.S(Table2[3])</f>
        <v>42.67777777777782</v>
      </c>
    </row>
    <row r="21" spans="2:10" ht="15.75">
      <c r="B21" s="16"/>
      <c r="C21" s="12">
        <v>60</v>
      </c>
      <c r="D21" s="12"/>
      <c r="E21" s="20">
        <v>70</v>
      </c>
      <c r="F21" s="7"/>
      <c r="G21" s="9" t="s">
        <v>21</v>
      </c>
      <c r="H21" s="8">
        <f>(1-H15)*H20/15</f>
        <v>12.646190476190428</v>
      </c>
      <c r="I21" s="8">
        <f>(1-I15)*I20/25</f>
        <v>1.18</v>
      </c>
      <c r="J21" s="8">
        <f>(1-J15)*J20/10</f>
        <v>3.2008333333333367</v>
      </c>
    </row>
    <row r="22" spans="2:10" ht="15.75">
      <c r="B22" s="16"/>
      <c r="C22" s="12">
        <v>60</v>
      </c>
      <c r="D22" s="12"/>
      <c r="E22" s="20">
        <v>64</v>
      </c>
      <c r="F22" s="7"/>
    </row>
    <row r="23" spans="2:10" ht="15.75">
      <c r="B23" s="16"/>
      <c r="C23" s="12">
        <v>65</v>
      </c>
      <c r="D23" s="12"/>
      <c r="E23" s="20">
        <v>63</v>
      </c>
      <c r="F23" s="7"/>
    </row>
    <row r="24" spans="2:10" ht="15.75">
      <c r="B24" s="16"/>
      <c r="C24" s="12">
        <v>62</v>
      </c>
      <c r="D24" s="12"/>
      <c r="E24" s="20">
        <v>60</v>
      </c>
      <c r="F24" s="7"/>
    </row>
    <row r="25" spans="2:10" ht="15.75">
      <c r="B25" s="16"/>
      <c r="C25" s="12">
        <v>41</v>
      </c>
      <c r="D25" s="12"/>
      <c r="E25" s="20">
        <v>59</v>
      </c>
      <c r="F25" s="7"/>
    </row>
    <row r="26" spans="2:10" ht="15.75">
      <c r="B26" s="16"/>
      <c r="C26" s="12">
        <v>49</v>
      </c>
      <c r="D26" s="12"/>
      <c r="E26" s="20">
        <v>63</v>
      </c>
      <c r="F26" s="7"/>
    </row>
    <row r="27" spans="2:10" ht="15.75">
      <c r="B27" s="17"/>
      <c r="C27" s="8"/>
      <c r="D27" s="8"/>
      <c r="E27" s="20">
        <v>62</v>
      </c>
      <c r="F27" s="7"/>
    </row>
    <row r="28" spans="2:10" ht="15.75">
      <c r="B28" s="17"/>
      <c r="C28" s="8"/>
      <c r="D28" s="8"/>
      <c r="E28" s="20">
        <v>58</v>
      </c>
      <c r="F28" s="7"/>
    </row>
    <row r="29" spans="2:10" ht="15.75">
      <c r="B29" s="17"/>
      <c r="C29" s="8"/>
      <c r="D29" s="8"/>
      <c r="E29" s="20">
        <v>64</v>
      </c>
      <c r="F29" s="7"/>
    </row>
    <row r="30" spans="2:10" ht="15.75">
      <c r="B30" s="17"/>
      <c r="C30" s="8"/>
      <c r="D30" s="8"/>
      <c r="E30" s="20">
        <v>65</v>
      </c>
      <c r="F30" s="7"/>
    </row>
    <row r="31" spans="2:10" ht="15.75">
      <c r="B31" s="17"/>
      <c r="C31" s="8"/>
      <c r="D31" s="8"/>
      <c r="E31" s="20">
        <v>65</v>
      </c>
      <c r="F31" s="7"/>
    </row>
    <row r="32" spans="2:10" ht="15.75">
      <c r="B32" s="17"/>
      <c r="C32" s="8"/>
      <c r="D32" s="8"/>
      <c r="E32" s="20">
        <v>60</v>
      </c>
      <c r="F32" s="7"/>
    </row>
    <row r="33" spans="2:6" ht="15.75">
      <c r="B33" s="17"/>
      <c r="C33" s="8"/>
      <c r="D33" s="8"/>
      <c r="E33" s="20">
        <v>50</v>
      </c>
      <c r="F33" s="7"/>
    </row>
    <row r="34" spans="2:6" ht="15.75">
      <c r="B34" s="17"/>
      <c r="C34" s="8"/>
      <c r="D34" s="8"/>
      <c r="E34" s="20">
        <v>55</v>
      </c>
      <c r="F34" s="7"/>
    </row>
    <row r="35" spans="2:6" ht="15.75">
      <c r="B35" s="17"/>
      <c r="C35" s="8"/>
      <c r="D35" s="8"/>
      <c r="E35" s="20">
        <v>62</v>
      </c>
      <c r="F35" s="7"/>
    </row>
    <row r="36" spans="2:6" ht="15.75">
      <c r="B36" s="17"/>
      <c r="C36" s="8"/>
      <c r="D36" s="8"/>
      <c r="E36" s="20">
        <v>60</v>
      </c>
      <c r="F36" s="7"/>
    </row>
    <row r="37" spans="2:6">
      <c r="B37" s="17"/>
      <c r="C37" s="8"/>
      <c r="D37" s="8"/>
      <c r="E37" s="20">
        <v>60</v>
      </c>
    </row>
    <row r="38" spans="2:6">
      <c r="B38" s="17"/>
      <c r="C38" s="8"/>
      <c r="D38" s="8"/>
      <c r="E38" s="20">
        <v>65</v>
      </c>
    </row>
    <row r="39" spans="2:6">
      <c r="B39" s="17"/>
      <c r="C39" s="8"/>
      <c r="D39" s="8"/>
      <c r="E39" s="20">
        <v>62</v>
      </c>
    </row>
    <row r="40" spans="2:6">
      <c r="B40" s="17"/>
      <c r="C40" s="8"/>
      <c r="D40" s="8"/>
      <c r="E40" s="20">
        <v>41</v>
      </c>
    </row>
    <row r="41" spans="2:6">
      <c r="B41" s="17"/>
      <c r="C41" s="8"/>
      <c r="D41" s="8"/>
      <c r="E41" s="20">
        <v>49</v>
      </c>
    </row>
    <row r="42" spans="2:6">
      <c r="B42" s="17"/>
      <c r="C42" s="8"/>
      <c r="D42" s="8"/>
      <c r="E42" s="35">
        <v>37</v>
      </c>
    </row>
    <row r="43" spans="2:6">
      <c r="B43" s="17"/>
      <c r="C43" s="8"/>
      <c r="D43" s="8"/>
      <c r="E43" s="35">
        <v>32</v>
      </c>
    </row>
    <row r="44" spans="2:6">
      <c r="B44" s="17"/>
      <c r="C44" s="8"/>
      <c r="D44" s="8"/>
      <c r="E44" s="35">
        <v>24</v>
      </c>
    </row>
    <row r="45" spans="2:6">
      <c r="B45" s="17"/>
      <c r="C45" s="8"/>
      <c r="D45" s="8"/>
      <c r="E45" s="35">
        <v>28</v>
      </c>
    </row>
    <row r="46" spans="2:6">
      <c r="B46" s="17"/>
      <c r="C46" s="8"/>
      <c r="D46" s="8"/>
      <c r="E46" s="35">
        <v>27</v>
      </c>
    </row>
    <row r="47" spans="2:6">
      <c r="B47" s="17"/>
      <c r="C47" s="8"/>
      <c r="D47" s="8"/>
      <c r="E47" s="35">
        <v>25</v>
      </c>
    </row>
    <row r="48" spans="2:6">
      <c r="B48" s="17"/>
      <c r="C48" s="8"/>
      <c r="D48" s="8"/>
      <c r="E48" s="35">
        <v>30</v>
      </c>
    </row>
    <row r="49" spans="2:5">
      <c r="B49" s="17"/>
      <c r="C49" s="8"/>
      <c r="D49" s="8"/>
      <c r="E49" s="35">
        <v>35</v>
      </c>
    </row>
    <row r="50" spans="2:5">
      <c r="B50" s="17"/>
      <c r="C50" s="8"/>
      <c r="D50" s="8"/>
      <c r="E50" s="35">
        <v>22</v>
      </c>
    </row>
    <row r="51" spans="2:5">
      <c r="B51" s="18"/>
      <c r="C51" s="14"/>
      <c r="D51" s="14"/>
      <c r="E51" s="37">
        <v>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5CB5-9AB4-4E7C-A2C6-A8E4257B44B4}">
  <dimension ref="A1:R30"/>
  <sheetViews>
    <sheetView topLeftCell="I1" workbookViewId="0">
      <selection activeCell="T20" sqref="T20"/>
    </sheetView>
  </sheetViews>
  <sheetFormatPr defaultRowHeight="15"/>
  <cols>
    <col min="2" max="2" width="18.42578125" customWidth="1"/>
    <col min="3" max="3" width="26" customWidth="1"/>
    <col min="11" max="11" width="18.42578125" customWidth="1"/>
    <col min="12" max="12" width="11" customWidth="1"/>
    <col min="14" max="14" width="11.42578125" bestFit="1" customWidth="1"/>
    <col min="16" max="16" width="41.140625" customWidth="1"/>
    <col min="18" max="18" width="17.5703125" customWidth="1"/>
  </cols>
  <sheetData>
    <row r="1" spans="1:18" ht="15.75">
      <c r="J1" s="26" t="s">
        <v>22</v>
      </c>
      <c r="K1" s="27" t="s">
        <v>23</v>
      </c>
      <c r="L1" s="27" t="s">
        <v>24</v>
      </c>
      <c r="M1" s="27" t="s">
        <v>25</v>
      </c>
      <c r="N1" s="27" t="s">
        <v>26</v>
      </c>
      <c r="O1" s="27" t="s">
        <v>27</v>
      </c>
      <c r="P1" s="27" t="s">
        <v>28</v>
      </c>
      <c r="Q1" s="27" t="s">
        <v>29</v>
      </c>
      <c r="R1" s="38" t="s">
        <v>30</v>
      </c>
    </row>
    <row r="2" spans="1:18">
      <c r="A2" s="11" t="s">
        <v>22</v>
      </c>
      <c r="B2" s="11" t="s">
        <v>23</v>
      </c>
      <c r="C2" s="11" t="s">
        <v>24</v>
      </c>
      <c r="D2" s="11" t="s">
        <v>31</v>
      </c>
      <c r="E2" s="11" t="s">
        <v>32</v>
      </c>
      <c r="F2" s="11" t="s">
        <v>33</v>
      </c>
      <c r="G2" s="11" t="s">
        <v>34</v>
      </c>
      <c r="H2" s="11" t="s">
        <v>35</v>
      </c>
      <c r="J2" s="16">
        <v>4</v>
      </c>
      <c r="K2" s="12" t="s">
        <v>36</v>
      </c>
      <c r="L2" s="12">
        <v>365</v>
      </c>
      <c r="M2" s="8">
        <f>Table7[[#This Row],[Column1]]/$D$21</f>
        <v>1.3268867238621493E-2</v>
      </c>
      <c r="N2" s="8">
        <f>M2*5</f>
        <v>6.6344336193107464E-2</v>
      </c>
      <c r="O2" s="8">
        <f>1/Table7[[#This Row],[f]]</f>
        <v>15.072876712328766</v>
      </c>
      <c r="P2" s="12">
        <v>75</v>
      </c>
      <c r="Q2" s="34">
        <f>Table7[[#This Row],[y]]/Table7[[#This Row],[peluang]]</f>
        <v>5652.3287671232874</v>
      </c>
      <c r="R2" s="35">
        <f>(Table7[[#This Row],[y/p]]-$Q$7)^2</f>
        <v>460273.43681919336</v>
      </c>
    </row>
    <row r="3" spans="1:18">
      <c r="A3" s="12">
        <v>1</v>
      </c>
      <c r="B3" s="12" t="s">
        <v>37</v>
      </c>
      <c r="C3" s="12">
        <v>485</v>
      </c>
      <c r="D3" s="12">
        <v>485</v>
      </c>
      <c r="E3" s="12"/>
      <c r="F3" s="12">
        <f>Table6[[#This Row],[cumu]]</f>
        <v>485</v>
      </c>
      <c r="G3" s="12"/>
      <c r="H3" s="12">
        <f>Table6[[#This Row],[Column1]]/$D$21</f>
        <v>1.7631234549949106E-2</v>
      </c>
      <c r="J3" s="16">
        <v>8</v>
      </c>
      <c r="K3" s="12" t="s">
        <v>38</v>
      </c>
      <c r="L3" s="12">
        <v>1636</v>
      </c>
      <c r="M3" s="8">
        <f>Table7[[#This Row],[Column1]]/$D$21</f>
        <v>5.9473607677766466E-2</v>
      </c>
      <c r="N3" s="8">
        <f>M3*5</f>
        <v>0.2973680383888323</v>
      </c>
      <c r="O3" s="8">
        <f>1/Table7[[#This Row],[f]]</f>
        <v>3.3628361858190714</v>
      </c>
      <c r="P3" s="12">
        <v>410</v>
      </c>
      <c r="Q3" s="34">
        <f>Table7[[#This Row],[y]]/Table7[[#This Row],[peluang]]</f>
        <v>6893.8141809290955</v>
      </c>
      <c r="R3" s="35">
        <f>(Table7[[#This Row],[y/p]]-$Q$7)^2</f>
        <v>317026.27673837601</v>
      </c>
    </row>
    <row r="4" spans="1:18">
      <c r="A4" s="23">
        <v>2</v>
      </c>
      <c r="B4" s="23" t="s">
        <v>39</v>
      </c>
      <c r="C4" s="23">
        <v>320</v>
      </c>
      <c r="D4" s="23">
        <f>D3+Table6[[#This Row],[Column1]]</f>
        <v>805</v>
      </c>
      <c r="E4" s="23">
        <f t="shared" ref="E4:E21" si="0">F3+1</f>
        <v>486</v>
      </c>
      <c r="F4" s="23">
        <f>Table6[[#This Row],[cumu]]</f>
        <v>805</v>
      </c>
      <c r="G4" s="12">
        <v>1</v>
      </c>
      <c r="H4" s="12">
        <f>Table6[[#This Row],[Column1]]/$D$21</f>
        <v>1.1632979496873638E-2</v>
      </c>
      <c r="J4" s="16">
        <v>10</v>
      </c>
      <c r="K4" s="12" t="s">
        <v>40</v>
      </c>
      <c r="L4" s="12">
        <v>9456</v>
      </c>
      <c r="M4" s="8">
        <f>Table7[[#This Row],[Column1]]/$D$21</f>
        <v>0.34375454413261597</v>
      </c>
      <c r="N4" s="8">
        <f>M4*5</f>
        <v>1.7187727206630798</v>
      </c>
      <c r="O4" s="8">
        <f>1/Table7[[#This Row],[f]]</f>
        <v>0.58181049069373947</v>
      </c>
      <c r="P4" s="12">
        <v>2365</v>
      </c>
      <c r="Q4" s="34">
        <f>Table7[[#This Row],[y]]/Table7[[#This Row],[peluang]]</f>
        <v>6879.9090524534686</v>
      </c>
      <c r="R4" s="35">
        <f>(Table7[[#This Row],[y/p]]-$Q$7)^2</f>
        <v>301561.04010004475</v>
      </c>
    </row>
    <row r="5" spans="1:18">
      <c r="A5" s="12">
        <v>3</v>
      </c>
      <c r="B5" s="12" t="s">
        <v>41</v>
      </c>
      <c r="C5" s="12">
        <v>250</v>
      </c>
      <c r="D5" s="12">
        <f>D4+Table6[[#This Row],[Column1]]</f>
        <v>1055</v>
      </c>
      <c r="E5" s="12">
        <f t="shared" si="0"/>
        <v>806</v>
      </c>
      <c r="F5" s="12">
        <f>Table6[[#This Row],[cumu]]</f>
        <v>1055</v>
      </c>
      <c r="G5" s="12"/>
      <c r="H5" s="12">
        <f>Table6[[#This Row],[Column1]]/$D$21</f>
        <v>9.0882652319325286E-3</v>
      </c>
      <c r="J5" s="16">
        <v>12</v>
      </c>
      <c r="K5" s="12" t="s">
        <v>42</v>
      </c>
      <c r="L5" s="12">
        <v>1588</v>
      </c>
      <c r="M5" s="8">
        <f>Table7[[#This Row],[Column1]]/$D$21</f>
        <v>5.772866075323542E-2</v>
      </c>
      <c r="N5" s="8">
        <f>M5*5</f>
        <v>0.28864330376617708</v>
      </c>
      <c r="O5" s="8">
        <f>1/Table7[[#This Row],[f]]</f>
        <v>3.4644836272040305</v>
      </c>
      <c r="P5" s="12">
        <v>390</v>
      </c>
      <c r="Q5" s="34">
        <f>Table7[[#This Row],[y]]/Table7[[#This Row],[peluang]]</f>
        <v>6755.7430730478591</v>
      </c>
      <c r="R5" s="35">
        <f>(Table7[[#This Row],[y/p]]-$Q$7)^2</f>
        <v>180607.79408233936</v>
      </c>
    </row>
    <row r="6" spans="1:18">
      <c r="A6" s="12">
        <v>4</v>
      </c>
      <c r="B6" s="12" t="s">
        <v>36</v>
      </c>
      <c r="C6" s="12">
        <v>365</v>
      </c>
      <c r="D6" s="12">
        <f>D5+Table6[[#This Row],[Column1]]</f>
        <v>1420</v>
      </c>
      <c r="E6" s="12">
        <f t="shared" si="0"/>
        <v>1056</v>
      </c>
      <c r="F6" s="12">
        <f>Table6[[#This Row],[cumu]]</f>
        <v>1420</v>
      </c>
      <c r="G6" s="12"/>
      <c r="H6" s="12">
        <f>Table6[[#This Row],[Column1]]/$D$21</f>
        <v>1.3268867238621493E-2</v>
      </c>
      <c r="J6" s="24">
        <v>18</v>
      </c>
      <c r="K6" s="25" t="s">
        <v>43</v>
      </c>
      <c r="L6" s="25">
        <v>930</v>
      </c>
      <c r="M6" s="14">
        <f>Table7[[#This Row],[Column1]]/$D$21</f>
        <v>3.3808346662789007E-2</v>
      </c>
      <c r="N6" s="14">
        <f>M6*5</f>
        <v>0.16904173331394504</v>
      </c>
      <c r="O6" s="14">
        <f>1/Table7[[#This Row],[f]]</f>
        <v>5.9156989247311831</v>
      </c>
      <c r="P6" s="25">
        <v>185</v>
      </c>
      <c r="Q6" s="36">
        <f>Table7[[#This Row],[y]]/Table7[[#This Row],[peluang]]</f>
        <v>5472.0215053763441</v>
      </c>
      <c r="R6" s="37">
        <f>(Table7[[#This Row],[y/p]]-$Q$7)^2</f>
        <v>737437.4969456722</v>
      </c>
    </row>
    <row r="7" spans="1:18">
      <c r="A7" s="12">
        <v>5</v>
      </c>
      <c r="B7" s="12" t="s">
        <v>44</v>
      </c>
      <c r="C7" s="12">
        <v>335</v>
      </c>
      <c r="D7" s="12">
        <f>D6+Table6[[#This Row],[Column1]]</f>
        <v>1755</v>
      </c>
      <c r="E7" s="12">
        <f t="shared" si="0"/>
        <v>1421</v>
      </c>
      <c r="F7" s="12">
        <f>Table6[[#This Row],[cumu]]</f>
        <v>1755</v>
      </c>
      <c r="G7" s="12"/>
      <c r="H7" s="12">
        <f>Table6[[#This Row],[Column1]]/$D$21</f>
        <v>1.2178275410789589E-2</v>
      </c>
      <c r="P7" s="21" t="s">
        <v>45</v>
      </c>
      <c r="Q7" s="21">
        <f>AVERAGE(Table7[y/p])</f>
        <v>6330.7633157860109</v>
      </c>
    </row>
    <row r="8" spans="1:18">
      <c r="A8" s="12">
        <v>6</v>
      </c>
      <c r="B8" s="12" t="s">
        <v>46</v>
      </c>
      <c r="C8" s="12">
        <v>455</v>
      </c>
      <c r="D8" s="12">
        <f>D7+Table6[[#This Row],[Column1]]</f>
        <v>2210</v>
      </c>
      <c r="E8" s="12">
        <f t="shared" si="0"/>
        <v>1756</v>
      </c>
      <c r="F8" s="12">
        <f>Table6[[#This Row],[cumu]]</f>
        <v>2210</v>
      </c>
      <c r="G8" s="12"/>
      <c r="H8" s="12">
        <f>Table6[[#This Row],[Column1]]/$D$21</f>
        <v>1.6540642722117201E-2</v>
      </c>
      <c r="P8" s="21" t="s">
        <v>47</v>
      </c>
      <c r="Q8" s="21">
        <f>1/(5*(5-1))*SUM(Table7[(yi/pi-Y^pps)^2])</f>
        <v>99845.302234281291</v>
      </c>
    </row>
    <row r="9" spans="1:18">
      <c r="A9" s="12">
        <v>7</v>
      </c>
      <c r="B9" s="12" t="s">
        <v>48</v>
      </c>
      <c r="C9" s="12">
        <v>480</v>
      </c>
      <c r="D9" s="12">
        <f>D8+Table6[[#This Row],[Column1]]</f>
        <v>2690</v>
      </c>
      <c r="E9" s="12">
        <f t="shared" si="0"/>
        <v>2211</v>
      </c>
      <c r="F9" s="12">
        <f>Table6[[#This Row],[cumu]]</f>
        <v>2690</v>
      </c>
      <c r="G9" s="12"/>
      <c r="H9" s="12">
        <f>Table6[[#This Row],[Column1]]/$D$21</f>
        <v>1.7449469245310455E-2</v>
      </c>
      <c r="L9" s="6"/>
      <c r="P9" s="42" t="s">
        <v>49</v>
      </c>
      <c r="Q9" s="42">
        <f>SQRT(Q8)</f>
        <v>315.98307270213274</v>
      </c>
    </row>
    <row r="10" spans="1:18">
      <c r="A10" s="12">
        <v>8</v>
      </c>
      <c r="B10" s="12" t="s">
        <v>38</v>
      </c>
      <c r="C10" s="12">
        <v>1636</v>
      </c>
      <c r="D10" s="12">
        <f>D9+Table6[[#This Row],[Column1]]</f>
        <v>4326</v>
      </c>
      <c r="E10" s="12">
        <f t="shared" si="0"/>
        <v>2691</v>
      </c>
      <c r="F10" s="12">
        <f>Table6[[#This Row],[cumu]]</f>
        <v>4326</v>
      </c>
      <c r="G10" s="12"/>
      <c r="H10" s="12">
        <f>Table6[[#This Row],[Column1]]/$D$21</f>
        <v>5.9473607677766466E-2</v>
      </c>
      <c r="L10" s="6"/>
      <c r="P10" s="28" t="s">
        <v>50</v>
      </c>
      <c r="Q10" s="28">
        <f>Q7/19</f>
        <v>333.19806925189533</v>
      </c>
    </row>
    <row r="11" spans="1:18">
      <c r="A11" s="12">
        <v>9</v>
      </c>
      <c r="B11" s="12" t="s">
        <v>51</v>
      </c>
      <c r="C11" s="12">
        <v>1053</v>
      </c>
      <c r="D11" s="12">
        <f>D10+Table6[[#This Row],[Column1]]</f>
        <v>5379</v>
      </c>
      <c r="E11" s="12">
        <f t="shared" si="0"/>
        <v>4327</v>
      </c>
      <c r="F11" s="12">
        <f>Table6[[#This Row],[cumu]]</f>
        <v>5379</v>
      </c>
      <c r="G11" s="12"/>
      <c r="H11" s="12">
        <f>Table6[[#This Row],[Column1]]/$D$21</f>
        <v>3.8279773156899809E-2</v>
      </c>
      <c r="P11" s="28" t="s">
        <v>52</v>
      </c>
      <c r="Q11" s="28">
        <f>Q8/19^2</f>
        <v>276.57978458249664</v>
      </c>
    </row>
    <row r="12" spans="1:18">
      <c r="A12" s="23">
        <v>10</v>
      </c>
      <c r="B12" s="23" t="s">
        <v>40</v>
      </c>
      <c r="C12" s="23">
        <v>9456</v>
      </c>
      <c r="D12" s="23">
        <f>D11+Table6[[#This Row],[Column1]]</f>
        <v>14835</v>
      </c>
      <c r="E12" s="23">
        <f t="shared" si="0"/>
        <v>5380</v>
      </c>
      <c r="F12" s="23">
        <f>Table6[[#This Row],[cumu]]</f>
        <v>14835</v>
      </c>
      <c r="G12" s="12">
        <v>2</v>
      </c>
      <c r="H12" s="12">
        <f>Table6[[#This Row],[Column1]]/$D$21</f>
        <v>0.34375454413261597</v>
      </c>
      <c r="P12" s="42" t="s">
        <v>53</v>
      </c>
      <c r="Q12" s="42">
        <f>SQRT(Q11)</f>
        <v>16.630688036954353</v>
      </c>
    </row>
    <row r="13" spans="1:18">
      <c r="A13" s="23">
        <v>11</v>
      </c>
      <c r="B13" s="23" t="s">
        <v>54</v>
      </c>
      <c r="C13" s="23">
        <v>6358</v>
      </c>
      <c r="D13" s="23">
        <f>D12+Table6[[#This Row],[Column1]]</f>
        <v>21193</v>
      </c>
      <c r="E13" s="23">
        <f t="shared" si="0"/>
        <v>14836</v>
      </c>
      <c r="F13" s="23">
        <f>Table6[[#This Row],[cumu]]</f>
        <v>21193</v>
      </c>
      <c r="G13" s="12">
        <v>1</v>
      </c>
      <c r="H13" s="12">
        <f>Table6[[#This Row],[Column1]]/$D$21</f>
        <v>0.23113276137850808</v>
      </c>
      <c r="P13" s="22" t="s">
        <v>6</v>
      </c>
      <c r="Q13" s="22">
        <f>Q12/Q10*100</f>
        <v>4.9912318142461007</v>
      </c>
    </row>
    <row r="14" spans="1:18">
      <c r="A14" s="12">
        <v>12</v>
      </c>
      <c r="B14" s="12" t="s">
        <v>42</v>
      </c>
      <c r="C14" s="12">
        <v>1588</v>
      </c>
      <c r="D14" s="12">
        <f>D13+Table6[[#This Row],[Column1]]</f>
        <v>22781</v>
      </c>
      <c r="E14" s="12">
        <f t="shared" si="0"/>
        <v>21194</v>
      </c>
      <c r="F14" s="12">
        <f>Table6[[#This Row],[cumu]]</f>
        <v>22781</v>
      </c>
      <c r="G14" s="12"/>
      <c r="H14" s="12">
        <f>Table6[[#This Row],[Column1]]/$D$21</f>
        <v>5.772866075323542E-2</v>
      </c>
    </row>
    <row r="15" spans="1:18">
      <c r="A15" s="12">
        <v>13</v>
      </c>
      <c r="B15" s="12" t="s">
        <v>55</v>
      </c>
      <c r="C15" s="12">
        <v>1290</v>
      </c>
      <c r="D15" s="12">
        <f>D14+Table6[[#This Row],[Column1]]</f>
        <v>24071</v>
      </c>
      <c r="E15" s="12">
        <f t="shared" si="0"/>
        <v>22782</v>
      </c>
      <c r="F15" s="12">
        <f>Table6[[#This Row],[cumu]]</f>
        <v>24071</v>
      </c>
      <c r="G15" s="12"/>
      <c r="H15" s="12">
        <f>Table6[[#This Row],[Column1]]/$D$21</f>
        <v>4.6895448596771847E-2</v>
      </c>
    </row>
    <row r="16" spans="1:18">
      <c r="A16" s="12">
        <v>14</v>
      </c>
      <c r="B16" s="12" t="s">
        <v>56</v>
      </c>
      <c r="C16" s="12">
        <v>465</v>
      </c>
      <c r="D16" s="12">
        <f>D15+Table6[[#This Row],[Column1]]</f>
        <v>24536</v>
      </c>
      <c r="E16" s="12">
        <f t="shared" si="0"/>
        <v>24072</v>
      </c>
      <c r="F16" s="12">
        <f>Table6[[#This Row],[cumu]]</f>
        <v>24536</v>
      </c>
      <c r="G16" s="12"/>
      <c r="H16" s="12">
        <f>Table6[[#This Row],[Column1]]/$D$21</f>
        <v>1.6904173331394504E-2</v>
      </c>
    </row>
    <row r="17" spans="1:8">
      <c r="A17" s="12">
        <v>15</v>
      </c>
      <c r="B17" s="12" t="s">
        <v>57</v>
      </c>
      <c r="C17" s="12">
        <v>937</v>
      </c>
      <c r="D17" s="12">
        <f>D16+Table6[[#This Row],[Column1]]</f>
        <v>25473</v>
      </c>
      <c r="E17" s="12">
        <f t="shared" si="0"/>
        <v>24537</v>
      </c>
      <c r="F17" s="12">
        <f>Table6[[#This Row],[cumu]]</f>
        <v>25473</v>
      </c>
      <c r="G17" s="12"/>
      <c r="H17" s="12">
        <f>Table6[[#This Row],[Column1]]/$D$21</f>
        <v>3.4062818089283117E-2</v>
      </c>
    </row>
    <row r="18" spans="1:8">
      <c r="A18" s="12">
        <v>16</v>
      </c>
      <c r="B18" s="12" t="s">
        <v>58</v>
      </c>
      <c r="C18" s="12">
        <v>390</v>
      </c>
      <c r="D18" s="12">
        <f>D17+Table6[[#This Row],[Column1]]</f>
        <v>25863</v>
      </c>
      <c r="E18" s="12">
        <f t="shared" si="0"/>
        <v>25474</v>
      </c>
      <c r="F18" s="12">
        <f>Table6[[#This Row],[cumu]]</f>
        <v>25863</v>
      </c>
      <c r="G18" s="12"/>
      <c r="H18" s="12">
        <f>Table6[[#This Row],[Column1]]/$D$21</f>
        <v>1.4177693761814745E-2</v>
      </c>
    </row>
    <row r="19" spans="1:8">
      <c r="A19" s="12">
        <v>17</v>
      </c>
      <c r="B19" s="12" t="s">
        <v>59</v>
      </c>
      <c r="C19" s="12">
        <v>55</v>
      </c>
      <c r="D19" s="12">
        <f>D18+Table6[[#This Row],[Column1]]</f>
        <v>25918</v>
      </c>
      <c r="E19" s="12">
        <f t="shared" si="0"/>
        <v>25864</v>
      </c>
      <c r="F19" s="12">
        <f>Table6[[#This Row],[cumu]]</f>
        <v>25918</v>
      </c>
      <c r="G19" s="12"/>
      <c r="H19" s="12">
        <f>Table6[[#This Row],[Column1]]/$D$21</f>
        <v>1.9994183510251562E-3</v>
      </c>
    </row>
    <row r="20" spans="1:8">
      <c r="A20" s="12">
        <v>18</v>
      </c>
      <c r="B20" s="12" t="s">
        <v>43</v>
      </c>
      <c r="C20" s="12">
        <v>930</v>
      </c>
      <c r="D20" s="12">
        <f>D19+Table6[[#This Row],[Column1]]</f>
        <v>26848</v>
      </c>
      <c r="E20" s="12">
        <f t="shared" si="0"/>
        <v>25919</v>
      </c>
      <c r="F20" s="12">
        <f>Table6[[#This Row],[cumu]]</f>
        <v>26848</v>
      </c>
      <c r="G20" s="12"/>
      <c r="H20" s="12">
        <f>Table6[[#This Row],[Column1]]/$D$21</f>
        <v>3.3808346662789007E-2</v>
      </c>
    </row>
    <row r="21" spans="1:8">
      <c r="A21" s="12">
        <v>19</v>
      </c>
      <c r="B21" s="12" t="s">
        <v>60</v>
      </c>
      <c r="C21" s="12">
        <v>660</v>
      </c>
      <c r="D21" s="12">
        <f>D20+Table6[[#This Row],[Column1]]</f>
        <v>27508</v>
      </c>
      <c r="E21" s="12">
        <f t="shared" si="0"/>
        <v>26849</v>
      </c>
      <c r="F21" s="12">
        <f>Table6[[#This Row],[cumu]]</f>
        <v>27508</v>
      </c>
      <c r="G21" s="12"/>
      <c r="H21" s="12">
        <f>Table6[[#This Row],[Column1]]/$D$21</f>
        <v>2.3993020212301874E-2</v>
      </c>
    </row>
    <row r="24" spans="1:8">
      <c r="C24" s="21" t="s">
        <v>61</v>
      </c>
      <c r="D24" s="21">
        <f>D21/4</f>
        <v>6877</v>
      </c>
    </row>
    <row r="25" spans="1:8">
      <c r="C25" s="21" t="s">
        <v>62</v>
      </c>
      <c r="D25" s="21">
        <v>2</v>
      </c>
    </row>
    <row r="26" spans="1:8">
      <c r="C26" s="21" t="s">
        <v>63</v>
      </c>
      <c r="D26" s="21">
        <f>D25+D24</f>
        <v>6879</v>
      </c>
    </row>
    <row r="27" spans="1:8">
      <c r="C27" s="21" t="s">
        <v>64</v>
      </c>
      <c r="D27" s="21">
        <f>D25+2*D24</f>
        <v>13756</v>
      </c>
    </row>
    <row r="28" spans="1:8">
      <c r="C28" s="21" t="s">
        <v>65</v>
      </c>
      <c r="D28" s="21">
        <f>D25+3*D24</f>
        <v>20633</v>
      </c>
    </row>
    <row r="29" spans="1:8">
      <c r="C29" s="21"/>
      <c r="D29" s="21"/>
    </row>
    <row r="30" spans="1:8">
      <c r="C30" s="22" t="s">
        <v>66</v>
      </c>
      <c r="D30" s="22">
        <v>3</v>
      </c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7A62-24E9-4C42-8F59-FB819C6DC8E1}">
  <dimension ref="A1:N22"/>
  <sheetViews>
    <sheetView tabSelected="1" workbookViewId="0">
      <selection activeCell="N14" sqref="N14"/>
    </sheetView>
  </sheetViews>
  <sheetFormatPr defaultRowHeight="15"/>
  <cols>
    <col min="9" max="9" width="10.42578125" bestFit="1" customWidth="1"/>
  </cols>
  <sheetData>
    <row r="1" spans="1:14" ht="15.75">
      <c r="A1" s="41" t="s">
        <v>22</v>
      </c>
      <c r="B1" s="41" t="s">
        <v>23</v>
      </c>
      <c r="C1" s="41" t="s">
        <v>67</v>
      </c>
      <c r="D1" s="41" t="s">
        <v>68</v>
      </c>
      <c r="E1" s="41" t="s">
        <v>69</v>
      </c>
      <c r="F1" s="4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ht="15.75">
      <c r="A2" s="41">
        <v>1</v>
      </c>
      <c r="B2" s="41" t="s">
        <v>37</v>
      </c>
      <c r="C2" s="41">
        <v>485</v>
      </c>
      <c r="D2" s="41">
        <v>485</v>
      </c>
      <c r="E2" s="41"/>
      <c r="F2" s="41">
        <v>485</v>
      </c>
      <c r="H2">
        <v>1</v>
      </c>
      <c r="I2" t="s">
        <v>36</v>
      </c>
      <c r="J2">
        <v>75</v>
      </c>
      <c r="K2">
        <v>365</v>
      </c>
      <c r="L2">
        <f>J2/$C$22</f>
        <v>2.7264795695797588E-3</v>
      </c>
      <c r="M2">
        <f>1-(1-L2)^5</f>
        <v>1.3558263341379218E-2</v>
      </c>
    </row>
    <row r="3" spans="1:14" ht="15.75">
      <c r="A3" s="41">
        <v>2</v>
      </c>
      <c r="B3" s="41" t="s">
        <v>39</v>
      </c>
      <c r="C3" s="41">
        <v>320</v>
      </c>
      <c r="D3" s="41">
        <v>805</v>
      </c>
      <c r="E3" s="41">
        <v>486</v>
      </c>
      <c r="F3" s="41">
        <v>805</v>
      </c>
      <c r="H3">
        <v>2</v>
      </c>
      <c r="I3" t="s">
        <v>38</v>
      </c>
      <c r="J3">
        <v>410</v>
      </c>
      <c r="K3">
        <v>1636</v>
      </c>
      <c r="L3">
        <f>J3/$C$22</f>
        <v>1.4904754980369347E-2</v>
      </c>
      <c r="M3">
        <f t="shared" ref="M3:M6" si="0">1-(1-L3)^5</f>
        <v>7.2335122839936372E-2</v>
      </c>
    </row>
    <row r="4" spans="1:14" ht="15.75">
      <c r="A4" s="41">
        <v>3</v>
      </c>
      <c r="B4" s="41" t="s">
        <v>41</v>
      </c>
      <c r="C4" s="41">
        <v>250</v>
      </c>
      <c r="D4" s="41">
        <v>1055</v>
      </c>
      <c r="E4" s="41">
        <v>806</v>
      </c>
      <c r="F4" s="41">
        <v>1055</v>
      </c>
      <c r="H4">
        <v>3</v>
      </c>
      <c r="I4" t="s">
        <v>40</v>
      </c>
      <c r="J4">
        <v>2365</v>
      </c>
      <c r="K4">
        <v>9456</v>
      </c>
      <c r="L4">
        <f t="shared" ref="L3:L6" si="1">J4/$C$22</f>
        <v>8.5974989094081716E-2</v>
      </c>
      <c r="M4">
        <f t="shared" si="0"/>
        <v>0.36204448154861479</v>
      </c>
    </row>
    <row r="5" spans="1:14" ht="15.75">
      <c r="A5" s="41">
        <v>4</v>
      </c>
      <c r="B5" s="41" t="s">
        <v>36</v>
      </c>
      <c r="C5" s="41">
        <v>365</v>
      </c>
      <c r="D5" s="41">
        <v>1420</v>
      </c>
      <c r="E5" s="41">
        <v>1056</v>
      </c>
      <c r="F5" s="41">
        <v>1420</v>
      </c>
      <c r="H5">
        <v>4</v>
      </c>
      <c r="I5" t="s">
        <v>42</v>
      </c>
      <c r="J5">
        <v>390</v>
      </c>
      <c r="K5">
        <v>1588</v>
      </c>
      <c r="L5">
        <f t="shared" si="1"/>
        <v>1.4177693761814745E-2</v>
      </c>
      <c r="M5">
        <f t="shared" si="0"/>
        <v>6.8906695515754679E-2</v>
      </c>
    </row>
    <row r="6" spans="1:14" ht="15.75">
      <c r="A6" s="41">
        <v>5</v>
      </c>
      <c r="B6" s="41" t="s">
        <v>44</v>
      </c>
      <c r="C6" s="41">
        <v>335</v>
      </c>
      <c r="D6" s="41">
        <v>1755</v>
      </c>
      <c r="E6" s="41">
        <v>1421</v>
      </c>
      <c r="F6" s="41">
        <v>1755</v>
      </c>
      <c r="H6">
        <v>5</v>
      </c>
      <c r="I6" t="s">
        <v>43</v>
      </c>
      <c r="J6">
        <v>185</v>
      </c>
      <c r="K6">
        <v>930</v>
      </c>
      <c r="L6">
        <f>J6/$C$22</f>
        <v>6.7253162716300711E-3</v>
      </c>
      <c r="M6">
        <f t="shared" si="0"/>
        <v>3.3177314206073283E-2</v>
      </c>
    </row>
    <row r="7" spans="1:14" ht="15.75">
      <c r="A7" s="41">
        <v>6</v>
      </c>
      <c r="B7" s="41" t="s">
        <v>46</v>
      </c>
      <c r="C7" s="41">
        <v>455</v>
      </c>
      <c r="D7" s="41">
        <v>2210</v>
      </c>
      <c r="E7" s="41">
        <v>1756</v>
      </c>
      <c r="F7" s="41">
        <v>2210</v>
      </c>
    </row>
    <row r="8" spans="1:14" ht="15.75">
      <c r="A8" s="41">
        <v>7</v>
      </c>
      <c r="B8" s="41" t="s">
        <v>48</v>
      </c>
      <c r="C8" s="41">
        <v>480</v>
      </c>
      <c r="D8" s="41">
        <v>2690</v>
      </c>
      <c r="E8" s="41">
        <v>2211</v>
      </c>
      <c r="F8" s="41">
        <v>2690</v>
      </c>
    </row>
    <row r="9" spans="1:14" ht="15.75">
      <c r="A9" s="41">
        <v>8</v>
      </c>
      <c r="B9" s="41" t="s">
        <v>38</v>
      </c>
      <c r="C9" s="41">
        <v>1636</v>
      </c>
      <c r="D9" s="41">
        <v>4326</v>
      </c>
      <c r="E9" s="41">
        <v>2691</v>
      </c>
      <c r="F9" s="41">
        <v>4326</v>
      </c>
    </row>
    <row r="10" spans="1:14" ht="15.75">
      <c r="A10" s="41">
        <v>9</v>
      </c>
      <c r="B10" s="41" t="s">
        <v>51</v>
      </c>
      <c r="C10" s="41">
        <v>1053</v>
      </c>
      <c r="D10" s="41">
        <v>5379</v>
      </c>
      <c r="E10" s="41">
        <v>4327</v>
      </c>
      <c r="F10" s="41">
        <v>5379</v>
      </c>
    </row>
    <row r="11" spans="1:14" ht="15.75">
      <c r="A11" s="41">
        <v>10</v>
      </c>
      <c r="B11" s="41" t="s">
        <v>40</v>
      </c>
      <c r="C11" s="41">
        <v>9456</v>
      </c>
      <c r="D11" s="41">
        <v>14835</v>
      </c>
      <c r="E11" s="41">
        <v>5380</v>
      </c>
      <c r="F11" s="41">
        <v>14835</v>
      </c>
      <c r="L11" t="s">
        <v>76</v>
      </c>
    </row>
    <row r="12" spans="1:14" ht="15.75">
      <c r="A12" s="41">
        <v>11</v>
      </c>
      <c r="B12" s="41" t="s">
        <v>54</v>
      </c>
      <c r="C12" s="41">
        <v>6358</v>
      </c>
      <c r="D12" s="41">
        <v>21193</v>
      </c>
      <c r="E12" s="41">
        <v>14836</v>
      </c>
      <c r="F12" s="41">
        <v>21193</v>
      </c>
    </row>
    <row r="13" spans="1:14" ht="15.75">
      <c r="A13" s="41">
        <v>12</v>
      </c>
      <c r="B13" s="41" t="s">
        <v>42</v>
      </c>
      <c r="C13" s="41">
        <v>1588</v>
      </c>
      <c r="D13" s="41">
        <v>22781</v>
      </c>
      <c r="E13" s="41">
        <v>21194</v>
      </c>
      <c r="F13" s="41">
        <v>22781</v>
      </c>
      <c r="N13" t="s">
        <v>77</v>
      </c>
    </row>
    <row r="14" spans="1:14" ht="15.75">
      <c r="A14" s="41">
        <v>13</v>
      </c>
      <c r="B14" s="41" t="s">
        <v>55</v>
      </c>
      <c r="C14" s="41">
        <v>1290</v>
      </c>
      <c r="D14" s="41">
        <v>24071</v>
      </c>
      <c r="E14" s="41">
        <v>22782</v>
      </c>
      <c r="F14" s="41">
        <v>24071</v>
      </c>
    </row>
    <row r="15" spans="1:14" ht="15.75">
      <c r="A15" s="41">
        <v>14</v>
      </c>
      <c r="B15" s="41" t="s">
        <v>56</v>
      </c>
      <c r="C15" s="41">
        <v>465</v>
      </c>
      <c r="D15" s="41">
        <v>24536</v>
      </c>
      <c r="E15" s="41">
        <v>24072</v>
      </c>
      <c r="F15" s="41">
        <v>24536</v>
      </c>
    </row>
    <row r="16" spans="1:14" ht="15.75">
      <c r="A16" s="41">
        <v>15</v>
      </c>
      <c r="B16" s="41" t="s">
        <v>57</v>
      </c>
      <c r="C16" s="41">
        <v>937</v>
      </c>
      <c r="D16" s="41">
        <v>25473</v>
      </c>
      <c r="E16" s="41">
        <v>24537</v>
      </c>
      <c r="F16" s="41">
        <v>25473</v>
      </c>
    </row>
    <row r="17" spans="1:6" ht="15.75">
      <c r="A17" s="41">
        <v>16</v>
      </c>
      <c r="B17" s="41" t="s">
        <v>58</v>
      </c>
      <c r="C17" s="41">
        <v>390</v>
      </c>
      <c r="D17" s="41">
        <v>25863</v>
      </c>
      <c r="E17" s="41">
        <v>25474</v>
      </c>
      <c r="F17" s="41">
        <v>25863</v>
      </c>
    </row>
    <row r="18" spans="1:6" ht="15.75">
      <c r="A18" s="41">
        <v>17</v>
      </c>
      <c r="B18" s="41" t="s">
        <v>59</v>
      </c>
      <c r="C18" s="41">
        <v>55</v>
      </c>
      <c r="D18" s="41">
        <v>25918</v>
      </c>
      <c r="E18" s="41">
        <v>25864</v>
      </c>
      <c r="F18" s="41">
        <v>25918</v>
      </c>
    </row>
    <row r="19" spans="1:6" ht="15.75">
      <c r="A19" s="41">
        <v>18</v>
      </c>
      <c r="B19" s="41" t="s">
        <v>43</v>
      </c>
      <c r="C19" s="41">
        <v>930</v>
      </c>
      <c r="D19" s="41">
        <v>26848</v>
      </c>
      <c r="E19" s="41">
        <v>25919</v>
      </c>
      <c r="F19" s="41">
        <v>26848</v>
      </c>
    </row>
    <row r="20" spans="1:6" ht="15.75">
      <c r="A20" s="41">
        <v>19</v>
      </c>
      <c r="B20" s="41" t="s">
        <v>60</v>
      </c>
      <c r="C20" s="41">
        <v>660</v>
      </c>
      <c r="D20" s="41">
        <v>27508</v>
      </c>
      <c r="E20" s="41">
        <v>26849</v>
      </c>
      <c r="F20" s="41">
        <v>27508</v>
      </c>
    </row>
    <row r="22" spans="1:6">
      <c r="B22" t="s">
        <v>78</v>
      </c>
      <c r="C22">
        <f>SUM(C2:C20)</f>
        <v>27508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0165D57CDED448B5A60A949B404771" ma:contentTypeVersion="4" ma:contentTypeDescription="Create a new document." ma:contentTypeScope="" ma:versionID="0e3bc141c0ccac6ee106c85c75608cd4">
  <xsd:schema xmlns:xsd="http://www.w3.org/2001/XMLSchema" xmlns:xs="http://www.w3.org/2001/XMLSchema" xmlns:p="http://schemas.microsoft.com/office/2006/metadata/properties" xmlns:ns3="50664ecd-c83c-48b0-9d56-163d79e3f313" targetNamespace="http://schemas.microsoft.com/office/2006/metadata/properties" ma:root="true" ma:fieldsID="a70a89961354cfff587daf28438dadbf" ns3:_="">
    <xsd:import namespace="50664ecd-c83c-48b0-9d56-163d79e3f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64ecd-c83c-48b0-9d56-163d79e3f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0BD1C8-EFD9-40CB-884C-4E38D85E256F}"/>
</file>

<file path=customXml/itemProps2.xml><?xml version="1.0" encoding="utf-8"?>
<ds:datastoreItem xmlns:ds="http://schemas.openxmlformats.org/officeDocument/2006/customXml" ds:itemID="{13F54553-37A2-40F1-A3B9-CB7BE898667B}"/>
</file>

<file path=customXml/itemProps3.xml><?xml version="1.0" encoding="utf-8"?>
<ds:datastoreItem xmlns:ds="http://schemas.openxmlformats.org/officeDocument/2006/customXml" ds:itemID="{4FD68230-0CE8-43C3-B939-2FDD22BD2AB0}"/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/>
  <cp:revision/>
  <dcterms:created xsi:type="dcterms:W3CDTF">2021-09-11T03:25:42Z</dcterms:created>
  <dcterms:modified xsi:type="dcterms:W3CDTF">2021-10-11T09:37:11Z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0x010100490165D57CDED448B5A60A949B404771</vt:lpwstr>
  </property>
</Properties>
</file>