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2\4.MPS\1.mps\2.stratified\"/>
    </mc:Choice>
  </mc:AlternateContent>
  <xr:revisionPtr revIDLastSave="0" documentId="8_{C30D9090-7BB2-4DF7-9CA2-D4ADADF20008}" xr6:coauthVersionLast="45" xr6:coauthVersionMax="45" xr10:uidLastSave="{00000000-0000-0000-0000-000000000000}"/>
  <bookViews>
    <workbookView xWindow="-120" yWindow="-120" windowWidth="20730" windowHeight="11160" activeTab="1" xr2:uid="{8444D89E-ABCA-4C6E-B3A7-2C98C8C4EBB7}"/>
  </bookViews>
  <sheets>
    <sheet name="WR" sheetId="3" r:id="rId1"/>
    <sheet name="WOR" sheetId="1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3" l="1"/>
  <c r="L2" i="3"/>
  <c r="Q11" i="1" l="1"/>
  <c r="M14" i="1" l="1"/>
  <c r="L14" i="1"/>
  <c r="M14" i="3"/>
  <c r="L14" i="3"/>
  <c r="M3" i="1" l="1"/>
  <c r="M20" i="1" l="1"/>
  <c r="L20" i="1"/>
  <c r="M19" i="1"/>
  <c r="L19" i="1"/>
  <c r="M15" i="1"/>
  <c r="M21" i="1" s="1"/>
  <c r="L15" i="1"/>
  <c r="L21" i="1" s="1"/>
  <c r="M20" i="3"/>
  <c r="M21" i="3" s="1"/>
  <c r="L20" i="3"/>
  <c r="L21" i="3" s="1"/>
  <c r="M19" i="3"/>
  <c r="L19" i="3"/>
  <c r="M15" i="3"/>
  <c r="N5" i="1"/>
  <c r="L4" i="3" l="1"/>
  <c r="L5" i="3" s="1"/>
  <c r="L8" i="3" s="1"/>
  <c r="L2" i="1"/>
  <c r="L4" i="1"/>
  <c r="L5" i="1" s="1"/>
  <c r="L9" i="1" s="1"/>
  <c r="N5" i="3"/>
  <c r="N3" i="3"/>
  <c r="M3" i="3"/>
  <c r="M4" i="3" s="1"/>
  <c r="M5" i="3" s="1"/>
  <c r="M9" i="3" s="1"/>
  <c r="N2" i="3"/>
  <c r="M2" i="3"/>
  <c r="L7" i="3" l="1"/>
  <c r="M8" i="3"/>
  <c r="M7" i="3"/>
  <c r="M10" i="3" s="1"/>
  <c r="N6" i="3"/>
  <c r="L7" i="1"/>
  <c r="L6" i="1"/>
  <c r="L8" i="1"/>
  <c r="L10" i="3"/>
  <c r="M6" i="3"/>
  <c r="L9" i="3"/>
  <c r="L6" i="3"/>
  <c r="M4" i="1"/>
  <c r="M5" i="1" s="1"/>
  <c r="L10" i="1" l="1"/>
  <c r="M6" i="1"/>
  <c r="N6" i="1"/>
  <c r="N2" i="1"/>
  <c r="M2" i="1"/>
  <c r="M8" i="1" l="1"/>
  <c r="M7" i="1"/>
  <c r="M10" i="1" s="1"/>
  <c r="M9" i="1"/>
</calcChain>
</file>

<file path=xl/sharedStrings.xml><?xml version="1.0" encoding="utf-8"?>
<sst xmlns="http://schemas.openxmlformats.org/spreadsheetml/2006/main" count="102" uniqueCount="27">
  <si>
    <t>all</t>
  </si>
  <si>
    <t>simple</t>
  </si>
  <si>
    <t>fpc</t>
  </si>
  <si>
    <t>RSE</t>
  </si>
  <si>
    <t>Stratified</t>
  </si>
  <si>
    <t>Populasi</t>
  </si>
  <si>
    <t>Varians</t>
  </si>
  <si>
    <t>Batas bawah</t>
  </si>
  <si>
    <t>Batas atas</t>
  </si>
  <si>
    <t>panjang selang</t>
  </si>
  <si>
    <t>SRS</t>
  </si>
  <si>
    <t>varians</t>
  </si>
  <si>
    <t>populasi</t>
  </si>
  <si>
    <t>sampel</t>
  </si>
  <si>
    <t>penimbang</t>
  </si>
  <si>
    <t>fraksi sampling</t>
  </si>
  <si>
    <t>rata-rata</t>
  </si>
  <si>
    <t>varians rata</t>
  </si>
  <si>
    <t>Estimasi Varians Sampling</t>
  </si>
  <si>
    <t>Estimasi rata-rata karakteristik populasi</t>
  </si>
  <si>
    <t>Standard Error</t>
  </si>
  <si>
    <t>Jawa</t>
  </si>
  <si>
    <t>Luar Jawa</t>
  </si>
  <si>
    <t>Pulau Tempat Tinggal</t>
  </si>
  <si>
    <t>Tinggi</t>
  </si>
  <si>
    <t>Pulau Tempat Tinggal2</t>
  </si>
  <si>
    <t>Tinggi3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</si>
</sst>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4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628650</xdr:colOff>
      <xdr:row>9</xdr:row>
      <xdr:rowOff>28575</xdr:rowOff>
    </xdr:from>
    <xdr:to>
      <xdr:col>19</xdr:col>
      <xdr:colOff>381000</xdr:colOff>
      <xdr:row>16</xdr:row>
      <xdr:rowOff>104599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80BE41-16BC-4229-9CFF-DB2492F35B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8340"/>
        <a:stretch/>
      </xdr:blipFill>
      <xdr:spPr>
        <a:xfrm>
          <a:off x="13592175" y="1743075"/>
          <a:ext cx="2828925" cy="14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19050</xdr:rowOff>
    </xdr:from>
    <xdr:to>
      <xdr:col>20</xdr:col>
      <xdr:colOff>28190</xdr:colOff>
      <xdr:row>8</xdr:row>
      <xdr:rowOff>133169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DB85C5-F4C2-4FA7-95D3-B51586214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1700" y="209550"/>
          <a:ext cx="3076190" cy="1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619125</xdr:colOff>
      <xdr:row>11</xdr:row>
      <xdr:rowOff>123825</xdr:rowOff>
    </xdr:from>
    <xdr:to>
      <xdr:col>20</xdr:col>
      <xdr:colOff>11206</xdr:colOff>
      <xdr:row>19</xdr:row>
      <xdr:rowOff>49686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5FBFD8-5D75-4296-A6A2-10DC65A4C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792"/>
        <a:stretch/>
      </xdr:blipFill>
      <xdr:spPr>
        <a:xfrm>
          <a:off x="12889566" y="2241737"/>
          <a:ext cx="3056405" cy="1449861"/>
        </a:xfrm>
        <a:prstGeom prst="rect">
          <a:avLst/>
        </a:prstGeom>
      </xdr:spPr>
    </xdr:pic>
    <xdr:clientData/>
  </xdr:twoCellAnchor>
  <xdr:twoCellAnchor editAs="oneCell">
    <xdr:from>
      <xdr:col>14</xdr:col>
      <xdr:colOff>627529</xdr:colOff>
      <xdr:row>0</xdr:row>
      <xdr:rowOff>0</xdr:rowOff>
    </xdr:from>
    <xdr:to>
      <xdr:col>19</xdr:col>
      <xdr:colOff>520704</xdr:colOff>
      <xdr:row>7</xdr:row>
      <xdr:rowOff>114119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95B06D-72FB-448D-A2B1-9B8C89A1F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7970" y="0"/>
          <a:ext cx="2952381" cy="14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A518BC-10FA-4A10-913A-1AF7019B3D5B}" name="Table14" displayName="Table14" ref="A1:C36" totalsRowShown="0" headerRowDxfId="33" dataDxfId="31" headerRowBorderDxfId="32">
  <autoFilter ref="A1:C36" xr:uid="{513E55E3-682D-4BA5-B9E7-C759255BF22F}"/>
  <sortState xmlns:xlrd2="http://schemas.microsoft.com/office/spreadsheetml/2017/richdata2" ref="A2:C36">
    <sortCondition ref="A1:A36"/>
  </sortState>
  <tableColumns count="3">
    <tableColumn id="1" xr3:uid="{63FCD3FC-BE0C-4579-8F56-581D8323D1F3}" name="Jawa" dataDxfId="30"/>
    <tableColumn id="2" xr3:uid="{F700D309-7476-4298-ADA0-4C78526C68F1}" name="Luar Jawa" dataDxfId="29"/>
    <tableColumn id="3" xr3:uid="{AD8A79DE-3762-4185-A728-730280AAEB80}" name="all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7B6300-E4B0-4D2D-ABB1-F33B3F878819}" name="Table26" displayName="Table26" ref="E1:I36" totalsRowShown="0" headerRowDxfId="27" dataDxfId="25" headerRowBorderDxfId="26">
  <autoFilter ref="E1:I36" xr:uid="{CB6ADA1B-AE71-4B02-A91D-2E24C2500A70}"/>
  <tableColumns count="5">
    <tableColumn id="1" xr3:uid="{C2E16130-500A-4B5A-8318-321406923BCE}" name="Jawa" dataDxfId="24"/>
    <tableColumn id="2" xr3:uid="{1AD1BA93-319D-44BD-90E8-D4702C34CB67}" name="Luar Jawa" dataDxfId="23"/>
    <tableColumn id="3" xr3:uid="{F49D5590-5320-450F-AEDB-A6C2BD229A44}" name="Stratified" dataDxfId="22"/>
    <tableColumn id="4" xr3:uid="{7A7A0D8B-9CA2-47E8-A28B-97D6FD67242B}" name="SRS" dataDxfId="21"/>
    <tableColumn id="5" xr3:uid="{0A8238D9-372C-4BBC-A38A-CFC790D07D6B}" name="all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1F03A-091A-4F8F-9DFA-DEF28CF81A2F}" name="Table1" displayName="Table1" ref="A1:C36" totalsRowShown="0" headerRowDxfId="1" dataDxfId="19">
  <autoFilter ref="A1:C36" xr:uid="{513E55E3-682D-4BA5-B9E7-C759255BF22F}"/>
  <sortState xmlns:xlrd2="http://schemas.microsoft.com/office/spreadsheetml/2017/richdata2" ref="A2:C36">
    <sortCondition ref="A1:A36"/>
  </sortState>
  <tableColumns count="3">
    <tableColumn id="1" xr3:uid="{97F2E8E7-8936-47A5-8F4B-53C5CA19712B}" name="Jawa" dataDxfId="18"/>
    <tableColumn id="2" xr3:uid="{DC1892EC-386B-4CC5-8DCA-4377EE310BFD}" name="Luar Jawa" dataDxfId="17"/>
    <tableColumn id="3" xr3:uid="{D804ACFC-126A-43B7-80E4-9B7CF15D9970}" name="all" dataDxfId="1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2611B3-8485-45BD-AD91-CAC9C91A2436}" name="Table2" displayName="Table2" ref="E1:I36" totalsRowShown="0" headerRowDxfId="0" dataDxfId="15">
  <autoFilter ref="E1:I36" xr:uid="{CB6ADA1B-AE71-4B02-A91D-2E24C2500A70}"/>
  <tableColumns count="5">
    <tableColumn id="1" xr3:uid="{EEF2E70D-DAEF-479C-BE84-7D04493328D1}" name="Jawa" dataDxfId="14"/>
    <tableColumn id="2" xr3:uid="{202E97C3-86FF-4167-954F-395C6FA06190}" name="Luar Jawa" dataDxfId="13"/>
    <tableColumn id="3" xr3:uid="{122C1CA9-B4DE-4930-8663-57586E140AF5}" name="Stratified" dataDxfId="12"/>
    <tableColumn id="4" xr3:uid="{1CDE7FFF-F6A8-4877-9DD8-D0DD284774BC}" name="SRS" dataDxfId="11"/>
    <tableColumn id="5" xr3:uid="{372C8563-D812-430A-9D12-0851493627CE}" name="all" dataDxfId="1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938759-A364-44D5-BDAE-432FDA61EE14}" name="Table4" displayName="Table4" ref="A1:D19" totalsRowShown="0" headerRowDxfId="2" headerRowBorderDxfId="8" tableBorderDxfId="9" totalsRowBorderDxfId="7">
  <autoFilter ref="A1:D19" xr:uid="{D3CF34F1-94CB-42AC-9EE4-CEC5E3B6CD83}"/>
  <tableColumns count="4">
    <tableColumn id="1" xr3:uid="{1085F090-554A-4858-85F9-0D9C8C472990}" name="Pulau Tempat Tinggal" dataDxfId="6"/>
    <tableColumn id="2" xr3:uid="{B5997F6B-25D0-4923-B6D0-DD11AD04001B}" name="Tinggi" dataDxfId="5"/>
    <tableColumn id="3" xr3:uid="{CCFBECC7-EEDA-4882-ACF4-345BCE66F494}" name="Pulau Tempat Tinggal2" dataDxfId="4"/>
    <tableColumn id="4" xr3:uid="{C9C7A206-6CCC-4002-839C-B5653D197513}" name="Tinggi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55FA-4B55-4B2F-895D-403BFD0BD29B}">
  <dimension ref="A1:O36"/>
  <sheetViews>
    <sheetView workbookViewId="0">
      <selection activeCell="U12" sqref="U12"/>
    </sheetView>
  </sheetViews>
  <sheetFormatPr defaultRowHeight="15" x14ac:dyDescent="0.25"/>
  <cols>
    <col min="1" max="1" width="15.42578125" style="3" customWidth="1"/>
    <col min="2" max="2" width="13.42578125" style="3" customWidth="1"/>
    <col min="3" max="3" width="11.28515625" style="3" customWidth="1"/>
    <col min="4" max="4" width="14.42578125" style="3" customWidth="1"/>
    <col min="5" max="5" width="11.42578125" style="3" customWidth="1"/>
    <col min="6" max="6" width="9.7109375" style="3" customWidth="1"/>
    <col min="7" max="10" width="9.140625" style="3"/>
    <col min="11" max="11" width="36.42578125" style="3" customWidth="1"/>
    <col min="12" max="12" width="13.5703125" style="3" customWidth="1"/>
    <col min="13" max="13" width="22.85546875" style="3" customWidth="1"/>
    <col min="14" max="14" width="9.28515625" style="3" customWidth="1"/>
    <col min="15" max="15" width="9.5703125" style="3" customWidth="1"/>
    <col min="16" max="16384" width="9.140625" style="3"/>
  </cols>
  <sheetData>
    <row r="1" spans="1:15" x14ac:dyDescent="0.25">
      <c r="A1" s="4" t="s">
        <v>21</v>
      </c>
      <c r="B1" s="4" t="s">
        <v>22</v>
      </c>
      <c r="C1" s="4" t="s">
        <v>0</v>
      </c>
      <c r="E1" s="4" t="s">
        <v>21</v>
      </c>
      <c r="F1" s="4" t="s">
        <v>22</v>
      </c>
      <c r="G1" s="4" t="s">
        <v>4</v>
      </c>
      <c r="H1" s="4" t="s">
        <v>10</v>
      </c>
      <c r="I1" s="4" t="s">
        <v>0</v>
      </c>
      <c r="K1" s="6"/>
      <c r="L1" s="6" t="s">
        <v>4</v>
      </c>
      <c r="M1" s="6" t="s">
        <v>1</v>
      </c>
      <c r="N1" s="6" t="s">
        <v>5</v>
      </c>
      <c r="O1" s="7"/>
    </row>
    <row r="2" spans="1:15" x14ac:dyDescent="0.25">
      <c r="A2" s="9">
        <v>174</v>
      </c>
      <c r="B2" s="9">
        <v>166</v>
      </c>
      <c r="C2" s="4">
        <v>162</v>
      </c>
      <c r="E2" s="4">
        <v>167</v>
      </c>
      <c r="F2" s="4">
        <v>166</v>
      </c>
      <c r="G2" s="9">
        <v>167</v>
      </c>
      <c r="H2" s="4">
        <v>178</v>
      </c>
      <c r="I2" s="4">
        <v>164</v>
      </c>
      <c r="K2" s="4" t="s">
        <v>19</v>
      </c>
      <c r="L2" s="4">
        <f>L14*L19+M14*M19</f>
        <v>161.23376623376623</v>
      </c>
      <c r="M2" s="4">
        <f>AVERAGE(Table26[SRS])</f>
        <v>165.4</v>
      </c>
      <c r="N2" s="4">
        <f>AVERAGE(Table26[all])</f>
        <v>164.6</v>
      </c>
    </row>
    <row r="3" spans="1:15" x14ac:dyDescent="0.25">
      <c r="A3" s="9">
        <v>160</v>
      </c>
      <c r="B3" s="9">
        <v>175</v>
      </c>
      <c r="C3" s="4">
        <v>164</v>
      </c>
      <c r="E3" s="4">
        <v>160</v>
      </c>
      <c r="F3" s="4">
        <v>157</v>
      </c>
      <c r="G3" s="9">
        <v>160</v>
      </c>
      <c r="H3" s="4">
        <v>163</v>
      </c>
      <c r="I3" s="4">
        <v>162</v>
      </c>
      <c r="K3" s="4" t="s">
        <v>6</v>
      </c>
      <c r="L3" s="4"/>
      <c r="M3" s="4">
        <f>_xlfn.VAR.S(Table26[SRS])</f>
        <v>45.155555555555559</v>
      </c>
      <c r="N3" s="4">
        <f>_xlfn.VAR.S(Table26[all])</f>
        <v>44.011764705882356</v>
      </c>
    </row>
    <row r="4" spans="1:15" x14ac:dyDescent="0.25">
      <c r="A4" s="9">
        <v>162</v>
      </c>
      <c r="B4" s="9">
        <v>175</v>
      </c>
      <c r="C4" s="4">
        <v>164</v>
      </c>
      <c r="E4" s="4">
        <v>168</v>
      </c>
      <c r="F4" s="4">
        <v>157</v>
      </c>
      <c r="G4" s="9">
        <v>168</v>
      </c>
      <c r="H4" s="4">
        <v>167</v>
      </c>
      <c r="I4" s="4">
        <v>164</v>
      </c>
      <c r="K4" s="4" t="s">
        <v>18</v>
      </c>
      <c r="L4" s="4">
        <f>L14^2*L21+M14^2*M21</f>
        <v>2.1177264294147404</v>
      </c>
      <c r="M4" s="4">
        <f>M3/10</f>
        <v>4.5155555555555562</v>
      </c>
      <c r="N4" s="4"/>
    </row>
    <row r="5" spans="1:15" x14ac:dyDescent="0.25">
      <c r="A5" s="9">
        <v>164</v>
      </c>
      <c r="B5" s="9">
        <v>173</v>
      </c>
      <c r="C5" s="4">
        <v>165</v>
      </c>
      <c r="E5" s="4">
        <v>157</v>
      </c>
      <c r="F5" s="4"/>
      <c r="G5" s="9">
        <v>157</v>
      </c>
      <c r="H5" s="4">
        <v>170</v>
      </c>
      <c r="I5" s="4">
        <v>165</v>
      </c>
      <c r="K5" s="4" t="s">
        <v>20</v>
      </c>
      <c r="L5" s="4">
        <f>SQRT(L4)</f>
        <v>1.4552410210733961</v>
      </c>
      <c r="M5" s="8">
        <f>SQRT(M4)</f>
        <v>2.1249836600678971</v>
      </c>
      <c r="N5" s="4">
        <f>_xlfn.STDEV.S(Table26[all])</f>
        <v>6.6341363195130647</v>
      </c>
    </row>
    <row r="6" spans="1:15" x14ac:dyDescent="0.25">
      <c r="A6" s="9">
        <v>163</v>
      </c>
      <c r="B6" s="9">
        <v>167</v>
      </c>
      <c r="C6" s="4">
        <v>166</v>
      </c>
      <c r="E6" s="4">
        <v>168</v>
      </c>
      <c r="F6" s="4"/>
      <c r="G6" s="9">
        <v>168</v>
      </c>
      <c r="H6" s="4">
        <v>157</v>
      </c>
      <c r="I6" s="4">
        <v>166</v>
      </c>
      <c r="K6" s="4" t="s">
        <v>3</v>
      </c>
      <c r="L6" s="4">
        <f>L5/L2*100</f>
        <v>0.90256591721829638</v>
      </c>
      <c r="M6" s="4">
        <f>M5/M2*100</f>
        <v>1.2847543289406875</v>
      </c>
      <c r="N6" s="4">
        <f>N5/N2*100</f>
        <v>4.0304594893761028</v>
      </c>
    </row>
    <row r="7" spans="1:15" x14ac:dyDescent="0.25">
      <c r="A7" s="9">
        <v>156</v>
      </c>
      <c r="B7" s="9">
        <v>161</v>
      </c>
      <c r="C7" s="4">
        <v>167</v>
      </c>
      <c r="E7" s="4">
        <v>161</v>
      </c>
      <c r="F7" s="4"/>
      <c r="G7" s="9">
        <v>161</v>
      </c>
      <c r="H7" s="4">
        <v>154</v>
      </c>
      <c r="I7" s="4">
        <v>167</v>
      </c>
      <c r="K7" s="4" t="s">
        <v>8</v>
      </c>
      <c r="L7" s="4">
        <f>L2+L5*1.96</f>
        <v>164.08603863507008</v>
      </c>
      <c r="M7" s="4">
        <f>M2+M5*1.96</f>
        <v>169.56496797373308</v>
      </c>
      <c r="N7" s="4"/>
    </row>
    <row r="8" spans="1:15" x14ac:dyDescent="0.25">
      <c r="A8" s="9">
        <v>155</v>
      </c>
      <c r="B8" s="9">
        <v>157</v>
      </c>
      <c r="C8" s="4">
        <v>167</v>
      </c>
      <c r="E8" s="4">
        <v>157</v>
      </c>
      <c r="F8" s="4"/>
      <c r="G8" s="9">
        <v>157</v>
      </c>
      <c r="H8" s="4">
        <v>168</v>
      </c>
      <c r="I8" s="4">
        <v>167</v>
      </c>
      <c r="K8" s="4" t="s">
        <v>7</v>
      </c>
      <c r="L8" s="4">
        <f>L2-L5*1.96</f>
        <v>158.38149383246238</v>
      </c>
      <c r="M8" s="4">
        <f>M2-M5*1.96</f>
        <v>161.23503202626694</v>
      </c>
      <c r="N8" s="4"/>
    </row>
    <row r="9" spans="1:15" x14ac:dyDescent="0.25">
      <c r="A9" s="9">
        <v>157</v>
      </c>
      <c r="B9" s="9">
        <v>159</v>
      </c>
      <c r="C9" s="4">
        <v>167</v>
      </c>
      <c r="E9" s="4">
        <v>162</v>
      </c>
      <c r="F9" s="4"/>
      <c r="G9" s="9">
        <v>162</v>
      </c>
      <c r="H9" s="4">
        <v>167</v>
      </c>
      <c r="I9" s="4">
        <v>167</v>
      </c>
      <c r="K9" s="4" t="s">
        <v>3</v>
      </c>
      <c r="L9" s="4">
        <f>L5/L2*100</f>
        <v>0.90256591721829638</v>
      </c>
      <c r="M9" s="4">
        <f>M5/M2*100</f>
        <v>1.2847543289406875</v>
      </c>
      <c r="N9" s="4"/>
    </row>
    <row r="10" spans="1:15" x14ac:dyDescent="0.25">
      <c r="A10" s="9">
        <v>165</v>
      </c>
      <c r="B10" s="9">
        <v>171</v>
      </c>
      <c r="C10" s="4">
        <v>167</v>
      </c>
      <c r="E10" s="4">
        <v>151</v>
      </c>
      <c r="F10" s="4"/>
      <c r="G10" s="9">
        <v>151</v>
      </c>
      <c r="H10" s="4">
        <v>163</v>
      </c>
      <c r="I10" s="4">
        <v>167</v>
      </c>
      <c r="K10" s="4" t="s">
        <v>9</v>
      </c>
      <c r="L10" s="4">
        <f>L7-L8</f>
        <v>5.7045448026076997</v>
      </c>
      <c r="M10" s="4">
        <f>M7-M8</f>
        <v>8.3299359474661401</v>
      </c>
      <c r="N10" s="4"/>
    </row>
    <row r="11" spans="1:15" x14ac:dyDescent="0.25">
      <c r="A11" s="9">
        <v>161</v>
      </c>
      <c r="B11" s="9">
        <v>167</v>
      </c>
      <c r="C11" s="4">
        <v>167</v>
      </c>
      <c r="E11" s="4">
        <v>161</v>
      </c>
      <c r="F11" s="4"/>
      <c r="G11" s="9">
        <v>161</v>
      </c>
      <c r="H11" s="4">
        <v>167</v>
      </c>
      <c r="I11" s="4">
        <v>167</v>
      </c>
    </row>
    <row r="12" spans="1:15" x14ac:dyDescent="0.25">
      <c r="A12" s="9">
        <v>151</v>
      </c>
      <c r="B12" s="9"/>
      <c r="C12" s="4">
        <v>168</v>
      </c>
      <c r="E12" s="4">
        <v>167</v>
      </c>
      <c r="F12" s="4"/>
      <c r="G12" s="9">
        <v>167</v>
      </c>
      <c r="H12" s="4"/>
      <c r="I12" s="4">
        <v>168</v>
      </c>
    </row>
    <row r="13" spans="1:15" x14ac:dyDescent="0.25">
      <c r="A13" s="9">
        <v>170</v>
      </c>
      <c r="B13" s="9"/>
      <c r="C13" s="4">
        <v>168</v>
      </c>
      <c r="E13" s="4"/>
      <c r="F13" s="4"/>
      <c r="G13" s="9">
        <v>166</v>
      </c>
      <c r="H13" s="4"/>
      <c r="I13" s="4">
        <v>168</v>
      </c>
      <c r="K13" s="10" t="s">
        <v>12</v>
      </c>
      <c r="L13" s="11" t="s">
        <v>21</v>
      </c>
      <c r="M13" s="11" t="s">
        <v>22</v>
      </c>
    </row>
    <row r="14" spans="1:15" x14ac:dyDescent="0.25">
      <c r="A14" s="9">
        <v>170</v>
      </c>
      <c r="B14" s="9"/>
      <c r="C14" s="4">
        <v>170</v>
      </c>
      <c r="E14" s="4"/>
      <c r="F14" s="4"/>
      <c r="G14" s="9">
        <v>157</v>
      </c>
      <c r="H14" s="4"/>
      <c r="I14" s="4">
        <v>170</v>
      </c>
      <c r="K14" s="4" t="s">
        <v>14</v>
      </c>
      <c r="L14" s="4">
        <f>COUNT(Table14[Jawa])/COUNT(Table14[all])</f>
        <v>0.7142857142857143</v>
      </c>
      <c r="M14" s="4">
        <f>COUNT(Table14[Luar Jawa])/COUNT(Table14[all])</f>
        <v>0.2857142857142857</v>
      </c>
    </row>
    <row r="15" spans="1:15" x14ac:dyDescent="0.25">
      <c r="A15" s="9">
        <v>154</v>
      </c>
      <c r="B15" s="9"/>
      <c r="C15" s="4">
        <v>170</v>
      </c>
      <c r="E15" s="4"/>
      <c r="F15" s="4"/>
      <c r="G15" s="9">
        <v>157</v>
      </c>
      <c r="H15" s="4"/>
      <c r="I15" s="4">
        <v>170</v>
      </c>
      <c r="K15" s="4" t="s">
        <v>15</v>
      </c>
      <c r="L15" s="4">
        <f>COUNT(Table26[Jawa])/COUNT(Table14[Jawa])</f>
        <v>0.44</v>
      </c>
      <c r="M15" s="4">
        <f>COUNT(Table26[Luar Jawa])/COUNT(Table14[Luar Jawa])</f>
        <v>0.3</v>
      </c>
    </row>
    <row r="16" spans="1:15" x14ac:dyDescent="0.25">
      <c r="A16" s="9">
        <v>157</v>
      </c>
      <c r="B16" s="9"/>
      <c r="C16" s="4">
        <v>171</v>
      </c>
      <c r="E16" s="4"/>
      <c r="F16" s="4"/>
      <c r="G16" s="4"/>
      <c r="H16" s="4"/>
      <c r="I16" s="4">
        <v>171</v>
      </c>
    </row>
    <row r="17" spans="1:13" x14ac:dyDescent="0.25">
      <c r="A17" s="9">
        <v>167</v>
      </c>
      <c r="B17" s="9"/>
      <c r="C17" s="4">
        <v>173</v>
      </c>
      <c r="E17" s="4"/>
      <c r="F17" s="4"/>
      <c r="G17" s="4"/>
      <c r="H17" s="4"/>
      <c r="I17" s="4">
        <v>173</v>
      </c>
    </row>
    <row r="18" spans="1:13" x14ac:dyDescent="0.25">
      <c r="A18" s="9">
        <v>163</v>
      </c>
      <c r="B18" s="9"/>
      <c r="C18" s="4">
        <v>174</v>
      </c>
      <c r="E18" s="4"/>
      <c r="F18" s="4"/>
      <c r="G18" s="4"/>
      <c r="H18" s="4"/>
      <c r="I18" s="4">
        <v>174</v>
      </c>
      <c r="K18" s="10" t="s">
        <v>13</v>
      </c>
      <c r="L18" s="11" t="s">
        <v>21</v>
      </c>
      <c r="M18" s="11" t="s">
        <v>22</v>
      </c>
    </row>
    <row r="19" spans="1:13" x14ac:dyDescent="0.25">
      <c r="A19" s="9">
        <v>168</v>
      </c>
      <c r="B19" s="9"/>
      <c r="C19" s="4">
        <v>175</v>
      </c>
      <c r="E19" s="4"/>
      <c r="F19" s="4"/>
      <c r="G19" s="4"/>
      <c r="H19" s="4"/>
      <c r="I19" s="4">
        <v>175</v>
      </c>
      <c r="K19" s="4" t="s">
        <v>16</v>
      </c>
      <c r="L19" s="4">
        <f>AVERAGE(Table26[Jawa])</f>
        <v>161.72727272727272</v>
      </c>
      <c r="M19" s="4">
        <f>AVERAGE(Table26[Luar Jawa])</f>
        <v>160</v>
      </c>
    </row>
    <row r="20" spans="1:13" x14ac:dyDescent="0.25">
      <c r="A20" s="9">
        <v>178</v>
      </c>
      <c r="B20" s="9"/>
      <c r="C20" s="4">
        <v>175</v>
      </c>
      <c r="E20" s="4"/>
      <c r="F20" s="4"/>
      <c r="G20" s="4"/>
      <c r="H20" s="4"/>
      <c r="I20" s="4">
        <v>175</v>
      </c>
      <c r="K20" s="4" t="s">
        <v>11</v>
      </c>
      <c r="L20" s="4">
        <f>_xlfn.VAR.S(Table26[Jawa])</f>
        <v>29.818181818181813</v>
      </c>
      <c r="M20" s="4">
        <f>_xlfn.VAR.S(Table26[Luar Jawa])</f>
        <v>27</v>
      </c>
    </row>
    <row r="21" spans="1:13" x14ac:dyDescent="0.25">
      <c r="A21" s="9">
        <v>170</v>
      </c>
      <c r="B21" s="9"/>
      <c r="C21" s="4">
        <v>178</v>
      </c>
      <c r="E21" s="4"/>
      <c r="F21" s="4"/>
      <c r="G21" s="4"/>
      <c r="H21" s="4"/>
      <c r="I21" s="4">
        <v>178</v>
      </c>
      <c r="K21" s="4" t="s">
        <v>17</v>
      </c>
      <c r="L21" s="4">
        <f>L20/COUNT(Table26[Jawa])</f>
        <v>2.710743801652892</v>
      </c>
      <c r="M21" s="4">
        <f>M20/COUNT(Table26[Luar Jawa])</f>
        <v>9</v>
      </c>
    </row>
    <row r="22" spans="1:13" x14ac:dyDescent="0.25">
      <c r="A22" s="9">
        <v>167</v>
      </c>
      <c r="B22" s="9"/>
      <c r="C22" s="4">
        <v>170</v>
      </c>
      <c r="E22" s="4"/>
      <c r="F22" s="4"/>
      <c r="G22" s="4"/>
      <c r="H22" s="4"/>
      <c r="I22" s="4">
        <v>151</v>
      </c>
    </row>
    <row r="23" spans="1:13" x14ac:dyDescent="0.25">
      <c r="A23" s="9">
        <v>164</v>
      </c>
      <c r="B23" s="9"/>
      <c r="C23" s="4">
        <v>163</v>
      </c>
      <c r="E23" s="4"/>
      <c r="F23" s="4"/>
      <c r="G23" s="4"/>
      <c r="H23" s="4"/>
      <c r="I23" s="4">
        <v>154</v>
      </c>
    </row>
    <row r="24" spans="1:13" x14ac:dyDescent="0.25">
      <c r="A24" s="9">
        <v>167</v>
      </c>
      <c r="B24" s="9"/>
      <c r="C24" s="4">
        <v>163</v>
      </c>
      <c r="E24" s="4"/>
      <c r="F24" s="4"/>
      <c r="G24" s="4"/>
      <c r="H24" s="4"/>
      <c r="I24" s="4">
        <v>155</v>
      </c>
    </row>
    <row r="25" spans="1:13" x14ac:dyDescent="0.25">
      <c r="A25" s="9">
        <v>159</v>
      </c>
      <c r="B25" s="9"/>
      <c r="C25" s="4">
        <v>161</v>
      </c>
      <c r="E25" s="4"/>
      <c r="F25" s="4"/>
      <c r="G25" s="4"/>
      <c r="H25" s="4"/>
      <c r="I25" s="4">
        <v>156</v>
      </c>
    </row>
    <row r="26" spans="1:13" x14ac:dyDescent="0.25">
      <c r="A26" s="9">
        <v>168</v>
      </c>
      <c r="B26" s="9"/>
      <c r="C26" s="4">
        <v>161</v>
      </c>
      <c r="E26" s="4"/>
      <c r="F26" s="4"/>
      <c r="G26" s="4"/>
      <c r="H26" s="4"/>
      <c r="I26" s="4">
        <v>157</v>
      </c>
    </row>
    <row r="27" spans="1:13" x14ac:dyDescent="0.25">
      <c r="A27" s="9"/>
      <c r="B27" s="9"/>
      <c r="C27" s="4">
        <v>160</v>
      </c>
      <c r="E27" s="4"/>
      <c r="F27" s="4"/>
      <c r="G27" s="4"/>
      <c r="H27" s="4"/>
      <c r="I27" s="4">
        <v>157</v>
      </c>
    </row>
    <row r="28" spans="1:13" x14ac:dyDescent="0.25">
      <c r="A28" s="9"/>
      <c r="B28" s="9"/>
      <c r="C28" s="4">
        <v>159</v>
      </c>
      <c r="E28" s="4"/>
      <c r="F28" s="4"/>
      <c r="G28" s="4"/>
      <c r="H28" s="4"/>
      <c r="I28" s="4">
        <v>157</v>
      </c>
    </row>
    <row r="29" spans="1:13" x14ac:dyDescent="0.25">
      <c r="A29" s="9"/>
      <c r="B29" s="9"/>
      <c r="C29" s="4">
        <v>159</v>
      </c>
      <c r="E29" s="4"/>
      <c r="F29" s="4"/>
      <c r="G29" s="4"/>
      <c r="H29" s="4"/>
      <c r="I29" s="4">
        <v>159</v>
      </c>
    </row>
    <row r="30" spans="1:13" x14ac:dyDescent="0.25">
      <c r="A30" s="9"/>
      <c r="B30" s="9"/>
      <c r="C30" s="4">
        <v>157</v>
      </c>
      <c r="E30" s="4"/>
      <c r="F30" s="4"/>
      <c r="G30" s="4"/>
      <c r="H30" s="4"/>
      <c r="I30" s="4">
        <v>159</v>
      </c>
    </row>
    <row r="31" spans="1:13" x14ac:dyDescent="0.25">
      <c r="A31" s="9"/>
      <c r="B31" s="9"/>
      <c r="C31" s="4">
        <v>157</v>
      </c>
      <c r="E31" s="4"/>
      <c r="F31" s="4"/>
      <c r="G31" s="4"/>
      <c r="H31" s="4"/>
      <c r="I31" s="4">
        <v>160</v>
      </c>
    </row>
    <row r="32" spans="1:13" x14ac:dyDescent="0.25">
      <c r="A32" s="9"/>
      <c r="B32" s="9"/>
      <c r="C32" s="4">
        <v>157</v>
      </c>
      <c r="E32" s="4"/>
      <c r="F32" s="4"/>
      <c r="G32" s="4"/>
      <c r="H32" s="4"/>
      <c r="I32" s="4">
        <v>161</v>
      </c>
    </row>
    <row r="33" spans="1:9" x14ac:dyDescent="0.25">
      <c r="A33" s="9"/>
      <c r="B33" s="9"/>
      <c r="C33" s="4">
        <v>156</v>
      </c>
      <c r="E33" s="4"/>
      <c r="F33" s="4"/>
      <c r="G33" s="4"/>
      <c r="H33" s="4"/>
      <c r="I33" s="4">
        <v>161</v>
      </c>
    </row>
    <row r="34" spans="1:9" x14ac:dyDescent="0.25">
      <c r="A34" s="9"/>
      <c r="B34" s="9"/>
      <c r="C34" s="4">
        <v>155</v>
      </c>
      <c r="E34" s="4"/>
      <c r="F34" s="4"/>
      <c r="G34" s="4"/>
      <c r="H34" s="4"/>
      <c r="I34" s="4">
        <v>163</v>
      </c>
    </row>
    <row r="35" spans="1:9" x14ac:dyDescent="0.25">
      <c r="A35" s="9"/>
      <c r="B35" s="9"/>
      <c r="C35" s="4">
        <v>154</v>
      </c>
      <c r="E35" s="4"/>
      <c r="F35" s="4"/>
      <c r="G35" s="4"/>
      <c r="H35" s="4"/>
      <c r="I35" s="4">
        <v>163</v>
      </c>
    </row>
    <row r="36" spans="1:9" x14ac:dyDescent="0.25">
      <c r="A36" s="9"/>
      <c r="B36" s="9"/>
      <c r="C36" s="4">
        <v>151</v>
      </c>
      <c r="E36" s="4"/>
      <c r="F36" s="4"/>
      <c r="G36" s="4"/>
      <c r="H36" s="4"/>
      <c r="I36" s="4">
        <v>170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97E1-DF9D-4B33-B864-C4E05CB1F608}">
  <dimension ref="A1:Q36"/>
  <sheetViews>
    <sheetView tabSelected="1" zoomScaleNormal="100" workbookViewId="0">
      <selection activeCell="K17" sqref="K17"/>
    </sheetView>
  </sheetViews>
  <sheetFormatPr defaultRowHeight="15" x14ac:dyDescent="0.25"/>
  <cols>
    <col min="1" max="1" width="10.42578125" style="3" customWidth="1"/>
    <col min="2" max="2" width="13.42578125" style="3" customWidth="1"/>
    <col min="3" max="3" width="11.42578125" style="3" customWidth="1"/>
    <col min="4" max="4" width="14.42578125" style="3" customWidth="1"/>
    <col min="5" max="5" width="11.42578125" style="3" customWidth="1"/>
    <col min="6" max="6" width="9.7109375" style="3" customWidth="1"/>
    <col min="7" max="10" width="9.140625" style="3"/>
    <col min="11" max="11" width="40.140625" style="3" customWidth="1"/>
    <col min="12" max="12" width="13.5703125" style="3" customWidth="1"/>
    <col min="13" max="13" width="13.7109375" style="3" customWidth="1"/>
    <col min="14" max="14" width="9.28515625" style="3" customWidth="1"/>
    <col min="15" max="15" width="9.5703125" style="3" customWidth="1"/>
    <col min="16" max="16384" width="9.140625" style="3"/>
  </cols>
  <sheetData>
    <row r="1" spans="1:17" x14ac:dyDescent="0.25">
      <c r="A1" s="23" t="s">
        <v>21</v>
      </c>
      <c r="B1" s="23" t="s">
        <v>22</v>
      </c>
      <c r="C1" s="24" t="s">
        <v>0</v>
      </c>
      <c r="E1" s="23" t="s">
        <v>21</v>
      </c>
      <c r="F1" s="23" t="s">
        <v>22</v>
      </c>
      <c r="G1" s="24" t="s">
        <v>4</v>
      </c>
      <c r="H1" s="24" t="s">
        <v>10</v>
      </c>
      <c r="I1" s="24" t="s">
        <v>0</v>
      </c>
      <c r="K1" s="10"/>
      <c r="L1" s="11" t="s">
        <v>4</v>
      </c>
      <c r="M1" s="11" t="s">
        <v>1</v>
      </c>
      <c r="N1" s="11" t="s">
        <v>5</v>
      </c>
    </row>
    <row r="2" spans="1:17" x14ac:dyDescent="0.25">
      <c r="A2" s="9">
        <v>174</v>
      </c>
      <c r="B2" s="9">
        <v>166</v>
      </c>
      <c r="C2" s="4">
        <v>162</v>
      </c>
      <c r="E2" s="9">
        <v>155</v>
      </c>
      <c r="F2" s="9">
        <v>167</v>
      </c>
      <c r="G2" s="9">
        <v>155</v>
      </c>
      <c r="H2" s="4">
        <v>163</v>
      </c>
      <c r="I2" s="4">
        <v>164</v>
      </c>
      <c r="K2" s="4" t="s">
        <v>19</v>
      </c>
      <c r="L2" s="4">
        <f>L14*L19+M14*M19</f>
        <v>163.49350649350649</v>
      </c>
      <c r="M2" s="4">
        <f>AVERAGE(Table2[SRS])</f>
        <v>165.25</v>
      </c>
      <c r="N2" s="4">
        <f>AVERAGE(Table2[all])</f>
        <v>164.6</v>
      </c>
    </row>
    <row r="3" spans="1:17" x14ac:dyDescent="0.25">
      <c r="A3" s="9">
        <v>160</v>
      </c>
      <c r="B3" s="9">
        <v>175</v>
      </c>
      <c r="C3" s="4">
        <v>164</v>
      </c>
      <c r="E3" s="9">
        <v>157</v>
      </c>
      <c r="F3" s="9">
        <v>161</v>
      </c>
      <c r="G3" s="9">
        <v>157</v>
      </c>
      <c r="H3" s="4">
        <v>170</v>
      </c>
      <c r="I3" s="4">
        <v>162</v>
      </c>
      <c r="K3" s="4" t="s">
        <v>6</v>
      </c>
      <c r="L3" s="4"/>
      <c r="M3" s="4">
        <f>_xlfn.VAR.S(H2:H9)</f>
        <v>47.071428571428569</v>
      </c>
      <c r="N3" s="4"/>
    </row>
    <row r="4" spans="1:17" x14ac:dyDescent="0.25">
      <c r="A4" s="9">
        <v>162</v>
      </c>
      <c r="B4" s="9">
        <v>175</v>
      </c>
      <c r="C4" s="4">
        <v>164</v>
      </c>
      <c r="E4" s="9">
        <v>168</v>
      </c>
      <c r="F4" s="9">
        <v>173</v>
      </c>
      <c r="G4" s="9">
        <v>168</v>
      </c>
      <c r="H4" s="4">
        <v>157</v>
      </c>
      <c r="I4" s="4">
        <v>164</v>
      </c>
      <c r="K4" s="4" t="s">
        <v>18</v>
      </c>
      <c r="L4" s="4">
        <f>L14^2*L21+M14^2*M21</f>
        <v>2.0127508854781579</v>
      </c>
      <c r="M4" s="4">
        <f>_xlfn.VAR.S(Table2[SRS])*Q11/8</f>
        <v>4.5390306122448978</v>
      </c>
      <c r="N4" s="4"/>
    </row>
    <row r="5" spans="1:17" x14ac:dyDescent="0.25">
      <c r="A5" s="9">
        <v>164</v>
      </c>
      <c r="B5" s="9">
        <v>173</v>
      </c>
      <c r="C5" s="4">
        <v>165</v>
      </c>
      <c r="E5" s="9">
        <v>163</v>
      </c>
      <c r="F5" s="4"/>
      <c r="G5" s="9">
        <v>163</v>
      </c>
      <c r="H5" s="4">
        <v>155</v>
      </c>
      <c r="I5" s="4">
        <v>165</v>
      </c>
      <c r="K5" s="4" t="s">
        <v>20</v>
      </c>
      <c r="L5" s="5">
        <f>SQRT(L4)</f>
        <v>1.4187145186675711</v>
      </c>
      <c r="M5" s="4">
        <f>SQRT(M4)</f>
        <v>2.1305000850140554</v>
      </c>
      <c r="N5" s="4">
        <f>_xlfn.STDEV.S(Table2[all])</f>
        <v>6.6341363195130647</v>
      </c>
    </row>
    <row r="6" spans="1:17" x14ac:dyDescent="0.25">
      <c r="A6" s="9">
        <v>163</v>
      </c>
      <c r="B6" s="9">
        <v>167</v>
      </c>
      <c r="C6" s="4">
        <v>166</v>
      </c>
      <c r="E6" s="9">
        <v>151</v>
      </c>
      <c r="F6" s="4"/>
      <c r="G6" s="9">
        <v>151</v>
      </c>
      <c r="H6" s="4">
        <v>166</v>
      </c>
      <c r="I6" s="4">
        <v>166</v>
      </c>
      <c r="K6" s="4" t="s">
        <v>3</v>
      </c>
      <c r="L6" s="4">
        <f>L5/L2*100</f>
        <v>0.86774976517120483</v>
      </c>
      <c r="M6" s="4">
        <f>M5/M2*100</f>
        <v>1.2892587503867203</v>
      </c>
      <c r="N6" s="4">
        <f>N5/N2*100</f>
        <v>4.0304594893761028</v>
      </c>
    </row>
    <row r="7" spans="1:17" x14ac:dyDescent="0.25">
      <c r="A7" s="9">
        <v>156</v>
      </c>
      <c r="B7" s="9">
        <v>161</v>
      </c>
      <c r="C7" s="4">
        <v>167</v>
      </c>
      <c r="E7" s="9">
        <v>167</v>
      </c>
      <c r="F7" s="4"/>
      <c r="G7" s="9">
        <v>167</v>
      </c>
      <c r="H7" s="4">
        <v>165</v>
      </c>
      <c r="I7" s="4">
        <v>167</v>
      </c>
      <c r="K7" s="4" t="s">
        <v>8</v>
      </c>
      <c r="L7" s="4">
        <f>L2+L5*1.96</f>
        <v>166.27418695009493</v>
      </c>
      <c r="M7" s="4">
        <f>M2+M5*1.96</f>
        <v>169.42578016662756</v>
      </c>
      <c r="N7" s="4"/>
    </row>
    <row r="8" spans="1:17" x14ac:dyDescent="0.25">
      <c r="A8" s="9">
        <v>155</v>
      </c>
      <c r="B8" s="9">
        <v>157</v>
      </c>
      <c r="C8" s="4">
        <v>167</v>
      </c>
      <c r="E8" s="9">
        <v>159</v>
      </c>
      <c r="F8" s="4"/>
      <c r="G8" s="9">
        <v>159</v>
      </c>
      <c r="H8" s="4">
        <v>175</v>
      </c>
      <c r="I8" s="4">
        <v>167</v>
      </c>
      <c r="K8" s="4" t="s">
        <v>7</v>
      </c>
      <c r="L8" s="4">
        <f>L2-L5*1.96</f>
        <v>160.71282603691805</v>
      </c>
      <c r="M8" s="4">
        <f>M2-M5*1.96</f>
        <v>161.07421983337244</v>
      </c>
      <c r="N8" s="4"/>
    </row>
    <row r="9" spans="1:17" x14ac:dyDescent="0.25">
      <c r="A9" s="9">
        <v>157</v>
      </c>
      <c r="B9" s="9">
        <v>159</v>
      </c>
      <c r="C9" s="4">
        <v>167</v>
      </c>
      <c r="E9" s="9">
        <v>156</v>
      </c>
      <c r="F9" s="4"/>
      <c r="G9" s="9">
        <v>156</v>
      </c>
      <c r="H9" s="4">
        <v>171</v>
      </c>
      <c r="I9" s="4">
        <v>167</v>
      </c>
      <c r="K9" s="4" t="s">
        <v>3</v>
      </c>
      <c r="L9" s="4">
        <f>L5/L2*100</f>
        <v>0.86774976517120483</v>
      </c>
      <c r="M9" s="4">
        <f>M5/M2*100</f>
        <v>1.2892587503867203</v>
      </c>
      <c r="N9" s="4"/>
    </row>
    <row r="10" spans="1:17" ht="15.75" thickBot="1" x14ac:dyDescent="0.3">
      <c r="A10" s="9">
        <v>165</v>
      </c>
      <c r="B10" s="9">
        <v>171</v>
      </c>
      <c r="C10" s="4">
        <v>167</v>
      </c>
      <c r="E10" s="9">
        <v>170</v>
      </c>
      <c r="F10" s="4"/>
      <c r="G10" s="9">
        <v>170</v>
      </c>
      <c r="H10" s="4"/>
      <c r="I10" s="4">
        <v>167</v>
      </c>
      <c r="K10" s="4" t="s">
        <v>9</v>
      </c>
      <c r="L10" s="4">
        <f>L7-L8</f>
        <v>5.561360913176884</v>
      </c>
      <c r="M10" s="4">
        <f>M7-M8</f>
        <v>8.3515603332551223</v>
      </c>
      <c r="N10" s="4"/>
    </row>
    <row r="11" spans="1:17" ht="15.75" thickBot="1" x14ac:dyDescent="0.3">
      <c r="A11" s="9">
        <v>161</v>
      </c>
      <c r="B11" s="9">
        <v>167</v>
      </c>
      <c r="C11" s="4">
        <v>167</v>
      </c>
      <c r="E11" s="9">
        <v>163</v>
      </c>
      <c r="F11" s="4"/>
      <c r="G11" s="9">
        <v>163</v>
      </c>
      <c r="H11" s="4"/>
      <c r="I11" s="4">
        <v>167</v>
      </c>
      <c r="P11" s="1" t="s">
        <v>2</v>
      </c>
      <c r="Q11" s="2">
        <f>(COUNT(Table2[all])-COUNT(Table2[SRS]))/COUNT(Table2[all])</f>
        <v>0.77142857142857146</v>
      </c>
    </row>
    <row r="12" spans="1:17" x14ac:dyDescent="0.25">
      <c r="A12" s="9">
        <v>151</v>
      </c>
      <c r="B12" s="9"/>
      <c r="C12" s="4">
        <v>168</v>
      </c>
      <c r="E12" s="9">
        <v>174</v>
      </c>
      <c r="F12" s="4"/>
      <c r="G12" s="9">
        <v>174</v>
      </c>
      <c r="H12" s="4"/>
      <c r="I12" s="4">
        <v>168</v>
      </c>
    </row>
    <row r="13" spans="1:17" x14ac:dyDescent="0.25">
      <c r="A13" s="9">
        <v>170</v>
      </c>
      <c r="B13" s="9"/>
      <c r="C13" s="4">
        <v>168</v>
      </c>
      <c r="E13" s="4"/>
      <c r="F13" s="4"/>
      <c r="G13" s="9">
        <v>167</v>
      </c>
      <c r="H13" s="4"/>
      <c r="I13" s="4">
        <v>168</v>
      </c>
      <c r="K13" s="10" t="s">
        <v>12</v>
      </c>
      <c r="L13" s="11" t="s">
        <v>21</v>
      </c>
      <c r="M13" s="11" t="s">
        <v>22</v>
      </c>
    </row>
    <row r="14" spans="1:17" x14ac:dyDescent="0.25">
      <c r="A14" s="9">
        <v>170</v>
      </c>
      <c r="B14" s="9"/>
      <c r="C14" s="4">
        <v>170</v>
      </c>
      <c r="E14" s="4"/>
      <c r="F14" s="4"/>
      <c r="G14" s="9">
        <v>161</v>
      </c>
      <c r="H14" s="4"/>
      <c r="I14" s="4">
        <v>170</v>
      </c>
      <c r="K14" s="4" t="s">
        <v>14</v>
      </c>
      <c r="L14" s="4">
        <f>COUNT(Table1[Jawa])/COUNT(Table1[all])</f>
        <v>0.7142857142857143</v>
      </c>
      <c r="M14" s="4">
        <f>COUNT(Table1[Luar Jawa])/COUNT(Table1[all])</f>
        <v>0.2857142857142857</v>
      </c>
    </row>
    <row r="15" spans="1:17" x14ac:dyDescent="0.25">
      <c r="A15" s="9">
        <v>154</v>
      </c>
      <c r="B15" s="9"/>
      <c r="C15" s="4">
        <v>170</v>
      </c>
      <c r="E15" s="4"/>
      <c r="F15" s="4"/>
      <c r="G15" s="9">
        <v>173</v>
      </c>
      <c r="H15" s="4"/>
      <c r="I15" s="4">
        <v>170</v>
      </c>
      <c r="K15" s="4" t="s">
        <v>15</v>
      </c>
      <c r="L15" s="4">
        <f>COUNT(Table2[Jawa])/COUNT(Table1[Jawa])</f>
        <v>0.44</v>
      </c>
      <c r="M15" s="4">
        <f>COUNT(Table2[Luar Jawa])/COUNT(Table1[Luar Jawa])</f>
        <v>0.3</v>
      </c>
    </row>
    <row r="16" spans="1:17" x14ac:dyDescent="0.25">
      <c r="A16" s="9">
        <v>157</v>
      </c>
      <c r="B16" s="9"/>
      <c r="C16" s="4">
        <v>171</v>
      </c>
      <c r="E16" s="4"/>
      <c r="F16" s="4"/>
      <c r="G16" s="4"/>
      <c r="H16" s="4"/>
      <c r="I16" s="4">
        <v>171</v>
      </c>
    </row>
    <row r="17" spans="1:13" x14ac:dyDescent="0.25">
      <c r="A17" s="9">
        <v>167</v>
      </c>
      <c r="B17" s="9"/>
      <c r="C17" s="4">
        <v>173</v>
      </c>
      <c r="E17" s="4"/>
      <c r="F17" s="4"/>
      <c r="G17" s="4"/>
      <c r="H17" s="4"/>
      <c r="I17" s="4">
        <v>173</v>
      </c>
    </row>
    <row r="18" spans="1:13" x14ac:dyDescent="0.25">
      <c r="A18" s="9">
        <v>163</v>
      </c>
      <c r="B18" s="9"/>
      <c r="C18" s="4">
        <v>174</v>
      </c>
      <c r="E18" s="4"/>
      <c r="F18" s="4"/>
      <c r="G18" s="4"/>
      <c r="H18" s="4"/>
      <c r="I18" s="4">
        <v>174</v>
      </c>
      <c r="K18" s="10" t="s">
        <v>13</v>
      </c>
      <c r="L18" s="11" t="s">
        <v>21</v>
      </c>
      <c r="M18" s="11" t="s">
        <v>22</v>
      </c>
    </row>
    <row r="19" spans="1:13" x14ac:dyDescent="0.25">
      <c r="A19" s="9">
        <v>168</v>
      </c>
      <c r="B19" s="9"/>
      <c r="C19" s="4">
        <v>175</v>
      </c>
      <c r="E19" s="4"/>
      <c r="F19" s="4"/>
      <c r="G19" s="4"/>
      <c r="H19" s="4"/>
      <c r="I19" s="4">
        <v>175</v>
      </c>
      <c r="K19" s="4" t="s">
        <v>16</v>
      </c>
      <c r="L19" s="4">
        <f>AVERAGE(Table2[Jawa])</f>
        <v>162.09090909090909</v>
      </c>
      <c r="M19" s="4">
        <f>AVERAGE(Table2[Luar Jawa])</f>
        <v>167</v>
      </c>
    </row>
    <row r="20" spans="1:13" x14ac:dyDescent="0.25">
      <c r="A20" s="9">
        <v>178</v>
      </c>
      <c r="B20" s="9"/>
      <c r="C20" s="4">
        <v>175</v>
      </c>
      <c r="E20" s="4"/>
      <c r="F20" s="4"/>
      <c r="G20" s="4"/>
      <c r="H20" s="4"/>
      <c r="I20" s="4">
        <v>175</v>
      </c>
      <c r="K20" s="4" t="s">
        <v>11</v>
      </c>
      <c r="L20" s="4">
        <f>_xlfn.VAR.S(Table2[Jawa])</f>
        <v>51.090909090909079</v>
      </c>
      <c r="M20" s="4">
        <f>_xlfn.VAR.S(Table2[Luar Jawa])</f>
        <v>36</v>
      </c>
    </row>
    <row r="21" spans="1:13" x14ac:dyDescent="0.25">
      <c r="A21" s="9">
        <v>170</v>
      </c>
      <c r="B21" s="9"/>
      <c r="C21" s="4">
        <v>178</v>
      </c>
      <c r="E21" s="4"/>
      <c r="F21" s="4"/>
      <c r="G21" s="4"/>
      <c r="H21" s="4"/>
      <c r="I21" s="4">
        <v>178</v>
      </c>
      <c r="K21" s="4" t="s">
        <v>17</v>
      </c>
      <c r="L21" s="4">
        <f>(1-L15)*L20/COUNT(Table2[Jawa])</f>
        <v>2.6009917355371894</v>
      </c>
      <c r="M21" s="4">
        <f>(1-M15)*M20/COUNT(Table2[Luar Jawa])</f>
        <v>8.4</v>
      </c>
    </row>
    <row r="22" spans="1:13" x14ac:dyDescent="0.25">
      <c r="A22" s="9">
        <v>167</v>
      </c>
      <c r="B22" s="9"/>
      <c r="C22" s="4">
        <v>170</v>
      </c>
      <c r="E22" s="4"/>
      <c r="F22" s="4"/>
      <c r="G22" s="4"/>
      <c r="H22" s="4"/>
      <c r="I22" s="4">
        <v>151</v>
      </c>
    </row>
    <row r="23" spans="1:13" x14ac:dyDescent="0.25">
      <c r="A23" s="9">
        <v>164</v>
      </c>
      <c r="B23" s="9"/>
      <c r="C23" s="4">
        <v>163</v>
      </c>
      <c r="E23" s="4"/>
      <c r="F23" s="4"/>
      <c r="G23" s="4"/>
      <c r="H23" s="4"/>
      <c r="I23" s="4">
        <v>154</v>
      </c>
    </row>
    <row r="24" spans="1:13" x14ac:dyDescent="0.25">
      <c r="A24" s="9">
        <v>167</v>
      </c>
      <c r="B24" s="9"/>
      <c r="C24" s="4">
        <v>163</v>
      </c>
      <c r="E24" s="4"/>
      <c r="F24" s="4"/>
      <c r="G24" s="4"/>
      <c r="H24" s="4"/>
      <c r="I24" s="4">
        <v>155</v>
      </c>
    </row>
    <row r="25" spans="1:13" x14ac:dyDescent="0.25">
      <c r="A25" s="9">
        <v>159</v>
      </c>
      <c r="B25" s="9"/>
      <c r="C25" s="4">
        <v>161</v>
      </c>
      <c r="E25" s="4"/>
      <c r="F25" s="4"/>
      <c r="G25" s="4"/>
      <c r="H25" s="4"/>
      <c r="I25" s="4">
        <v>156</v>
      </c>
    </row>
    <row r="26" spans="1:13" x14ac:dyDescent="0.25">
      <c r="A26" s="9">
        <v>168</v>
      </c>
      <c r="B26" s="9"/>
      <c r="C26" s="4">
        <v>161</v>
      </c>
      <c r="E26" s="4"/>
      <c r="F26" s="4"/>
      <c r="G26" s="4"/>
      <c r="H26" s="4"/>
      <c r="I26" s="4">
        <v>157</v>
      </c>
    </row>
    <row r="27" spans="1:13" x14ac:dyDescent="0.25">
      <c r="A27" s="9"/>
      <c r="B27" s="9"/>
      <c r="C27" s="4">
        <v>160</v>
      </c>
      <c r="E27" s="4"/>
      <c r="F27" s="4"/>
      <c r="G27" s="4"/>
      <c r="H27" s="4"/>
      <c r="I27" s="4">
        <v>157</v>
      </c>
    </row>
    <row r="28" spans="1:13" x14ac:dyDescent="0.25">
      <c r="A28" s="9"/>
      <c r="B28" s="9"/>
      <c r="C28" s="4">
        <v>159</v>
      </c>
      <c r="E28" s="4"/>
      <c r="F28" s="4"/>
      <c r="G28" s="4"/>
      <c r="H28" s="4"/>
      <c r="I28" s="4">
        <v>157</v>
      </c>
    </row>
    <row r="29" spans="1:13" x14ac:dyDescent="0.25">
      <c r="A29" s="9"/>
      <c r="B29" s="9"/>
      <c r="C29" s="4">
        <v>159</v>
      </c>
      <c r="E29" s="4"/>
      <c r="F29" s="4"/>
      <c r="G29" s="4"/>
      <c r="H29" s="4"/>
      <c r="I29" s="4">
        <v>159</v>
      </c>
    </row>
    <row r="30" spans="1:13" x14ac:dyDescent="0.25">
      <c r="A30" s="9"/>
      <c r="B30" s="9"/>
      <c r="C30" s="4">
        <v>157</v>
      </c>
      <c r="E30" s="4"/>
      <c r="F30" s="4"/>
      <c r="G30" s="4"/>
      <c r="H30" s="4"/>
      <c r="I30" s="4">
        <v>159</v>
      </c>
    </row>
    <row r="31" spans="1:13" x14ac:dyDescent="0.25">
      <c r="A31" s="9"/>
      <c r="B31" s="9"/>
      <c r="C31" s="4">
        <v>157</v>
      </c>
      <c r="E31" s="4"/>
      <c r="F31" s="4"/>
      <c r="G31" s="4"/>
      <c r="H31" s="4"/>
      <c r="I31" s="4">
        <v>160</v>
      </c>
    </row>
    <row r="32" spans="1:13" x14ac:dyDescent="0.25">
      <c r="A32" s="9"/>
      <c r="B32" s="9"/>
      <c r="C32" s="4">
        <v>157</v>
      </c>
      <c r="E32" s="4"/>
      <c r="F32" s="4"/>
      <c r="G32" s="4"/>
      <c r="H32" s="4"/>
      <c r="I32" s="4">
        <v>161</v>
      </c>
    </row>
    <row r="33" spans="1:9" x14ac:dyDescent="0.25">
      <c r="A33" s="9"/>
      <c r="B33" s="9"/>
      <c r="C33" s="4">
        <v>156</v>
      </c>
      <c r="E33" s="4"/>
      <c r="F33" s="4"/>
      <c r="G33" s="4"/>
      <c r="H33" s="4"/>
      <c r="I33" s="4">
        <v>161</v>
      </c>
    </row>
    <row r="34" spans="1:9" x14ac:dyDescent="0.25">
      <c r="A34" s="9"/>
      <c r="B34" s="9"/>
      <c r="C34" s="4">
        <v>155</v>
      </c>
      <c r="E34" s="4"/>
      <c r="F34" s="4"/>
      <c r="G34" s="4"/>
      <c r="H34" s="4"/>
      <c r="I34" s="4">
        <v>163</v>
      </c>
    </row>
    <row r="35" spans="1:9" x14ac:dyDescent="0.25">
      <c r="A35" s="9"/>
      <c r="B35" s="9"/>
      <c r="C35" s="4">
        <v>154</v>
      </c>
      <c r="E35" s="4"/>
      <c r="F35" s="4"/>
      <c r="G35" s="4"/>
      <c r="H35" s="4"/>
      <c r="I35" s="4">
        <v>163</v>
      </c>
    </row>
    <row r="36" spans="1:9" x14ac:dyDescent="0.25">
      <c r="A36" s="9"/>
      <c r="B36" s="9"/>
      <c r="C36" s="4">
        <v>151</v>
      </c>
      <c r="E36" s="4"/>
      <c r="F36" s="4"/>
      <c r="G36" s="4"/>
      <c r="H36" s="4"/>
      <c r="I36" s="4">
        <v>170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9E47-1F54-46E0-BAEF-31B944AAF6B3}">
  <dimension ref="A1:D19"/>
  <sheetViews>
    <sheetView workbookViewId="0">
      <selection activeCell="J15" sqref="J15"/>
    </sheetView>
  </sheetViews>
  <sheetFormatPr defaultRowHeight="15" x14ac:dyDescent="0.25"/>
  <cols>
    <col min="1" max="1" width="23.5703125" customWidth="1"/>
    <col min="3" max="3" width="23.140625" customWidth="1"/>
  </cols>
  <sheetData>
    <row r="1" spans="1:4" x14ac:dyDescent="0.25">
      <c r="A1" s="16" t="s">
        <v>23</v>
      </c>
      <c r="B1" s="20" t="s">
        <v>24</v>
      </c>
      <c r="C1" s="20" t="s">
        <v>25</v>
      </c>
      <c r="D1" s="17" t="s">
        <v>26</v>
      </c>
    </row>
    <row r="2" spans="1:4" x14ac:dyDescent="0.25">
      <c r="A2" s="14" t="s">
        <v>21</v>
      </c>
      <c r="B2" s="13">
        <v>174</v>
      </c>
      <c r="C2" s="12" t="s">
        <v>21</v>
      </c>
      <c r="D2" s="15">
        <v>178</v>
      </c>
    </row>
    <row r="3" spans="1:4" x14ac:dyDescent="0.25">
      <c r="A3" s="14" t="s">
        <v>21</v>
      </c>
      <c r="B3" s="13">
        <v>160</v>
      </c>
      <c r="C3" s="12" t="s">
        <v>21</v>
      </c>
      <c r="D3" s="15">
        <v>170</v>
      </c>
    </row>
    <row r="4" spans="1:4" x14ac:dyDescent="0.25">
      <c r="A4" s="14" t="s">
        <v>21</v>
      </c>
      <c r="B4" s="13">
        <v>162</v>
      </c>
      <c r="C4" s="12" t="s">
        <v>21</v>
      </c>
      <c r="D4" s="15">
        <v>167</v>
      </c>
    </row>
    <row r="5" spans="1:4" x14ac:dyDescent="0.25">
      <c r="A5" s="14" t="s">
        <v>21</v>
      </c>
      <c r="B5" s="13">
        <v>164</v>
      </c>
      <c r="C5" s="12" t="s">
        <v>21</v>
      </c>
      <c r="D5" s="15">
        <v>164</v>
      </c>
    </row>
    <row r="6" spans="1:4" x14ac:dyDescent="0.25">
      <c r="A6" s="14" t="s">
        <v>21</v>
      </c>
      <c r="B6" s="13">
        <v>163</v>
      </c>
      <c r="C6" s="12" t="s">
        <v>21</v>
      </c>
      <c r="D6" s="15">
        <v>167</v>
      </c>
    </row>
    <row r="7" spans="1:4" x14ac:dyDescent="0.25">
      <c r="A7" s="14" t="s">
        <v>21</v>
      </c>
      <c r="B7" s="13">
        <v>156</v>
      </c>
      <c r="C7" s="12" t="s">
        <v>21</v>
      </c>
      <c r="D7" s="15">
        <v>159</v>
      </c>
    </row>
    <row r="8" spans="1:4" x14ac:dyDescent="0.25">
      <c r="A8" s="14" t="s">
        <v>21</v>
      </c>
      <c r="B8" s="13">
        <v>155</v>
      </c>
      <c r="C8" s="12" t="s">
        <v>21</v>
      </c>
      <c r="D8" s="15">
        <v>168</v>
      </c>
    </row>
    <row r="9" spans="1:4" x14ac:dyDescent="0.25">
      <c r="A9" s="14" t="s">
        <v>21</v>
      </c>
      <c r="B9" s="13">
        <v>157</v>
      </c>
      <c r="C9" s="12" t="s">
        <v>22</v>
      </c>
      <c r="D9" s="15">
        <v>166</v>
      </c>
    </row>
    <row r="10" spans="1:4" x14ac:dyDescent="0.25">
      <c r="A10" s="14" t="s">
        <v>21</v>
      </c>
      <c r="B10" s="13">
        <v>165</v>
      </c>
      <c r="C10" s="12" t="s">
        <v>22</v>
      </c>
      <c r="D10" s="15">
        <v>175</v>
      </c>
    </row>
    <row r="11" spans="1:4" x14ac:dyDescent="0.25">
      <c r="A11" s="14" t="s">
        <v>21</v>
      </c>
      <c r="B11" s="13">
        <v>161</v>
      </c>
      <c r="C11" s="12" t="s">
        <v>22</v>
      </c>
      <c r="D11" s="15">
        <v>175</v>
      </c>
    </row>
    <row r="12" spans="1:4" x14ac:dyDescent="0.25">
      <c r="A12" s="14" t="s">
        <v>21</v>
      </c>
      <c r="B12" s="13">
        <v>151</v>
      </c>
      <c r="C12" s="12" t="s">
        <v>22</v>
      </c>
      <c r="D12" s="15">
        <v>173</v>
      </c>
    </row>
    <row r="13" spans="1:4" x14ac:dyDescent="0.25">
      <c r="A13" s="14" t="s">
        <v>21</v>
      </c>
      <c r="B13" s="13">
        <v>170</v>
      </c>
      <c r="C13" s="12" t="s">
        <v>22</v>
      </c>
      <c r="D13" s="15">
        <v>167</v>
      </c>
    </row>
    <row r="14" spans="1:4" x14ac:dyDescent="0.25">
      <c r="A14" s="14" t="s">
        <v>21</v>
      </c>
      <c r="B14" s="13">
        <v>170</v>
      </c>
      <c r="C14" s="12" t="s">
        <v>22</v>
      </c>
      <c r="D14" s="15">
        <v>161</v>
      </c>
    </row>
    <row r="15" spans="1:4" x14ac:dyDescent="0.25">
      <c r="A15" s="14" t="s">
        <v>21</v>
      </c>
      <c r="B15" s="13">
        <v>154</v>
      </c>
      <c r="C15" s="12" t="s">
        <v>22</v>
      </c>
      <c r="D15" s="15">
        <v>157</v>
      </c>
    </row>
    <row r="16" spans="1:4" x14ac:dyDescent="0.25">
      <c r="A16" s="14" t="s">
        <v>21</v>
      </c>
      <c r="B16" s="13">
        <v>157</v>
      </c>
      <c r="C16" s="12" t="s">
        <v>22</v>
      </c>
      <c r="D16" s="15">
        <v>159</v>
      </c>
    </row>
    <row r="17" spans="1:4" x14ac:dyDescent="0.25">
      <c r="A17" s="14" t="s">
        <v>21</v>
      </c>
      <c r="B17" s="13">
        <v>167</v>
      </c>
      <c r="C17" s="12" t="s">
        <v>22</v>
      </c>
      <c r="D17" s="15">
        <v>171</v>
      </c>
    </row>
    <row r="18" spans="1:4" x14ac:dyDescent="0.25">
      <c r="A18" s="14" t="s">
        <v>21</v>
      </c>
      <c r="B18" s="13">
        <v>163</v>
      </c>
      <c r="C18" s="12" t="s">
        <v>22</v>
      </c>
      <c r="D18" s="15">
        <v>167</v>
      </c>
    </row>
    <row r="19" spans="1:4" x14ac:dyDescent="0.25">
      <c r="A19" s="18" t="s">
        <v>21</v>
      </c>
      <c r="B19" s="21">
        <v>168</v>
      </c>
      <c r="C19" s="22"/>
      <c r="D19" s="19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</vt:lpstr>
      <vt:lpstr>WOR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nubisub</dc:creator>
  <cp:lastModifiedBy>nubisub</cp:lastModifiedBy>
  <dcterms:created xsi:type="dcterms:W3CDTF">2021-09-11T03:25:42Z</dcterms:created>
  <dcterms:modified xsi:type="dcterms:W3CDTF">2021-09-19T08:39:18Z</dcterms:modified>
</cp:coreProperties>
</file>