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2\4.MPS\fix\Kelompok 4\Stratified\"/>
    </mc:Choice>
  </mc:AlternateContent>
  <xr:revisionPtr revIDLastSave="0" documentId="13_ncr:1_{DE057D89-73BC-4D64-9AC3-7359CDEE5639}" xr6:coauthVersionLast="45" xr6:coauthVersionMax="45" xr10:uidLastSave="{00000000-0000-0000-0000-000000000000}"/>
  <bookViews>
    <workbookView xWindow="-120" yWindow="-120" windowWidth="20730" windowHeight="11160" activeTab="1" xr2:uid="{8444D89E-ABCA-4C6E-B3A7-2C98C8C4EBB7}"/>
  </bookViews>
  <sheets>
    <sheet name="WR" sheetId="3" r:id="rId1"/>
    <sheet name="WO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M14" i="1" l="1"/>
  <c r="L14" i="1"/>
  <c r="M14" i="3"/>
  <c r="L14" i="3"/>
  <c r="M3" i="1" l="1"/>
  <c r="M20" i="1" l="1"/>
  <c r="L20" i="1"/>
  <c r="M19" i="1"/>
  <c r="L19" i="1"/>
  <c r="M15" i="1"/>
  <c r="M21" i="1" s="1"/>
  <c r="L15" i="1"/>
  <c r="L21" i="1" s="1"/>
  <c r="M20" i="3"/>
  <c r="M21" i="3" s="1"/>
  <c r="L20" i="3"/>
  <c r="L21" i="3" s="1"/>
  <c r="L4" i="3" s="1"/>
  <c r="L5" i="3" s="1"/>
  <c r="L2" i="3"/>
  <c r="M19" i="3"/>
  <c r="L19" i="3"/>
  <c r="M15" i="3"/>
  <c r="L15" i="3"/>
  <c r="N5" i="1"/>
  <c r="L8" i="3" l="1"/>
  <c r="L7" i="3"/>
  <c r="L2" i="1"/>
  <c r="L4" i="1"/>
  <c r="L5" i="1" s="1"/>
  <c r="L9" i="1" s="1"/>
  <c r="N5" i="3"/>
  <c r="N3" i="3"/>
  <c r="M3" i="3"/>
  <c r="M4" i="3" s="1"/>
  <c r="M5" i="3" s="1"/>
  <c r="M9" i="3" s="1"/>
  <c r="N2" i="3"/>
  <c r="M2" i="3"/>
  <c r="M8" i="3" l="1"/>
  <c r="M7" i="3"/>
  <c r="M10" i="3" s="1"/>
  <c r="N6" i="3"/>
  <c r="L7" i="1"/>
  <c r="L6" i="1"/>
  <c r="L8" i="1"/>
  <c r="L10" i="3"/>
  <c r="M6" i="3"/>
  <c r="L9" i="3"/>
  <c r="L6" i="3"/>
  <c r="M4" i="1"/>
  <c r="M5" i="1" s="1"/>
  <c r="L10" i="1" l="1"/>
  <c r="M6" i="1"/>
  <c r="N6" i="1"/>
  <c r="N2" i="1"/>
  <c r="M2" i="1"/>
  <c r="M8" i="1" l="1"/>
  <c r="M7" i="1"/>
  <c r="M10" i="1" s="1"/>
  <c r="M9" i="1"/>
</calcChain>
</file>

<file path=xl/sharedStrings.xml><?xml version="1.0" encoding="utf-8"?>
<sst xmlns="http://schemas.openxmlformats.org/spreadsheetml/2006/main" count="63" uniqueCount="25">
  <si>
    <t>all</t>
  </si>
  <si>
    <t>simple</t>
  </si>
  <si>
    <t>fpc</t>
  </si>
  <si>
    <t>RSE</t>
  </si>
  <si>
    <t>Stratified</t>
  </si>
  <si>
    <t>Populasi</t>
  </si>
  <si>
    <t>Varians</t>
  </si>
  <si>
    <t>Batas bawah</t>
  </si>
  <si>
    <t>Batas atas</t>
  </si>
  <si>
    <t>panjang selang</t>
  </si>
  <si>
    <t>Laki-laki</t>
  </si>
  <si>
    <t>Perempuan</t>
  </si>
  <si>
    <t>SRS</t>
  </si>
  <si>
    <t>varians</t>
  </si>
  <si>
    <t>populasi</t>
  </si>
  <si>
    <t>sampel</t>
  </si>
  <si>
    <t>penimbang</t>
  </si>
  <si>
    <t xml:space="preserve">pria </t>
  </si>
  <si>
    <t>wanita</t>
  </si>
  <si>
    <t>fraksi sampling</t>
  </si>
  <si>
    <t>rata-rata</t>
  </si>
  <si>
    <t>varians rata</t>
  </si>
  <si>
    <t>Estimasi Varians Sampling</t>
  </si>
  <si>
    <t>Estimasi rata-rata karakteristik populasi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</si>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</sst>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26</xdr:col>
      <xdr:colOff>84876</xdr:colOff>
      <xdr:row>7</xdr:row>
      <xdr:rowOff>76024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80BE41-16BC-4229-9CFF-DB2492F35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0" y="0"/>
          <a:ext cx="6790476" cy="1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533400</xdr:colOff>
      <xdr:row>0</xdr:row>
      <xdr:rowOff>9525</xdr:rowOff>
    </xdr:from>
    <xdr:to>
      <xdr:col>25</xdr:col>
      <xdr:colOff>523034</xdr:colOff>
      <xdr:row>7</xdr:row>
      <xdr:rowOff>143253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C58AAC-66CF-4F13-A11E-BFE17B7E4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2425" y="9525"/>
          <a:ext cx="6723809" cy="1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619125</xdr:colOff>
      <xdr:row>11</xdr:row>
      <xdr:rowOff>123825</xdr:rowOff>
    </xdr:from>
    <xdr:to>
      <xdr:col>26</xdr:col>
      <xdr:colOff>84874</xdr:colOff>
      <xdr:row>19</xdr:row>
      <xdr:rowOff>49686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5FBFD8-5D75-4296-A6A2-10DC65A4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6850" y="2314575"/>
          <a:ext cx="6809524" cy="14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518BC-10FA-4A10-913A-1AF7019B3D5B}" name="Table14" displayName="Table14" ref="A1:C36" totalsRowShown="0" headerRowDxfId="8" dataDxfId="7">
  <autoFilter ref="A1:C36" xr:uid="{513E55E3-682D-4BA5-B9E7-C759255BF22F}"/>
  <sortState xmlns:xlrd2="http://schemas.microsoft.com/office/spreadsheetml/2017/richdata2" ref="A2:C36">
    <sortCondition ref="A1:A36"/>
  </sortState>
  <tableColumns count="3">
    <tableColumn id="1" xr3:uid="{63FCD3FC-BE0C-4579-8F56-581D8323D1F3}" name="Laki-laki" dataDxfId="11"/>
    <tableColumn id="2" xr3:uid="{F700D309-7476-4298-ADA0-4C78526C68F1}" name="Perempuan" dataDxfId="10"/>
    <tableColumn id="3" xr3:uid="{AD8A79DE-3762-4185-A728-730280AAEB80}" name="all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7B6300-E4B0-4D2D-ABB1-F33B3F878819}" name="Table26" displayName="Table26" ref="E1:I36" totalsRowShown="0" headerRowDxfId="1" dataDxfId="0">
  <autoFilter ref="E1:I36" xr:uid="{CB6ADA1B-AE71-4B02-A91D-2E24C2500A70}"/>
  <tableColumns count="5">
    <tableColumn id="1" xr3:uid="{C2E16130-500A-4B5A-8318-321406923BCE}" name="Laki-laki" dataDxfId="6"/>
    <tableColumn id="2" xr3:uid="{1AD1BA93-319D-44BD-90E8-D4702C34CB67}" name="Perempuan" dataDxfId="5"/>
    <tableColumn id="3" xr3:uid="{F49D5590-5320-450F-AEDB-A6C2BD229A44}" name="Stratified" dataDxfId="4"/>
    <tableColumn id="4" xr3:uid="{7A7A0D8B-9CA2-47E8-A28B-97D6FD67242B}" name="SRS" dataDxfId="3"/>
    <tableColumn id="5" xr3:uid="{0A8238D9-372C-4BBC-A38A-CFC790D07D6B}" name="all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1F03A-091A-4F8F-9DFA-DEF28CF81A2F}" name="Table1" displayName="Table1" ref="A1:C36" totalsRowShown="0" headerRowDxfId="20" dataDxfId="19">
  <autoFilter ref="A1:C36" xr:uid="{513E55E3-682D-4BA5-B9E7-C759255BF22F}"/>
  <sortState xmlns:xlrd2="http://schemas.microsoft.com/office/spreadsheetml/2017/richdata2" ref="A2:C36">
    <sortCondition ref="A1:A36"/>
  </sortState>
  <tableColumns count="3">
    <tableColumn id="1" xr3:uid="{97F2E8E7-8936-47A5-8F4B-53C5CA19712B}" name="Laki-laki" dataDxfId="23"/>
    <tableColumn id="2" xr3:uid="{DC1892EC-386B-4CC5-8DCA-4377EE310BFD}" name="Perempuan" dataDxfId="22"/>
    <tableColumn id="3" xr3:uid="{D804ACFC-126A-43B7-80E4-9B7CF15D9970}" name="all" dataDxfId="2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2611B3-8485-45BD-AD91-CAC9C91A2436}" name="Table2" displayName="Table2" ref="E1:I36" totalsRowShown="0" headerRowDxfId="13" dataDxfId="12">
  <autoFilter ref="E1:I36" xr:uid="{CB6ADA1B-AE71-4B02-A91D-2E24C2500A70}"/>
  <tableColumns count="5">
    <tableColumn id="1" xr3:uid="{EEF2E70D-DAEF-479C-BE84-7D04493328D1}" name="Laki-laki" dataDxfId="18"/>
    <tableColumn id="2" xr3:uid="{202E97C3-86FF-4167-954F-395C6FA06190}" name="Perempuan" dataDxfId="17"/>
    <tableColumn id="3" xr3:uid="{122C1CA9-B4DE-4930-8663-57586E140AF5}" name="Stratified" dataDxfId="16"/>
    <tableColumn id="4" xr3:uid="{1CDE7FFF-F6A8-4877-9DD8-D0DD284774BC}" name="SRS" dataDxfId="15"/>
    <tableColumn id="5" xr3:uid="{372C8563-D812-430A-9D12-0851493627CE}" name="all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55FA-4B55-4B2F-895D-403BFD0BD29B}">
  <dimension ref="A1:O36"/>
  <sheetViews>
    <sheetView topLeftCell="H1" workbookViewId="0">
      <selection activeCell="N12" sqref="N12"/>
    </sheetView>
  </sheetViews>
  <sheetFormatPr defaultRowHeight="15" x14ac:dyDescent="0.25"/>
  <cols>
    <col min="1" max="1" width="15.42578125" style="3" customWidth="1"/>
    <col min="2" max="2" width="13.42578125" style="3" customWidth="1"/>
    <col min="3" max="3" width="11.28515625" style="3" customWidth="1"/>
    <col min="4" max="4" width="14.42578125" style="3" customWidth="1"/>
    <col min="5" max="5" width="11.42578125" style="3" customWidth="1"/>
    <col min="6" max="6" width="9.7109375" style="3" customWidth="1"/>
    <col min="7" max="10" width="9.140625" style="3"/>
    <col min="11" max="11" width="36.42578125" style="3" customWidth="1"/>
    <col min="12" max="12" width="13.5703125" style="3" customWidth="1"/>
    <col min="13" max="13" width="13.7109375" style="3" customWidth="1"/>
    <col min="14" max="14" width="9.28515625" style="3" customWidth="1"/>
    <col min="15" max="15" width="9.5703125" style="3" customWidth="1"/>
    <col min="16" max="16384" width="9.140625" style="3"/>
  </cols>
  <sheetData>
    <row r="1" spans="1:15" x14ac:dyDescent="0.25">
      <c r="A1" s="3" t="s">
        <v>10</v>
      </c>
      <c r="B1" s="3" t="s">
        <v>11</v>
      </c>
      <c r="C1" s="3" t="s">
        <v>0</v>
      </c>
      <c r="E1" s="3" t="s">
        <v>10</v>
      </c>
      <c r="F1" s="3" t="s">
        <v>11</v>
      </c>
      <c r="G1" s="3" t="s">
        <v>4</v>
      </c>
      <c r="H1" s="3" t="s">
        <v>12</v>
      </c>
      <c r="I1" s="3" t="s">
        <v>0</v>
      </c>
      <c r="K1" s="6"/>
      <c r="L1" s="6" t="s">
        <v>4</v>
      </c>
      <c r="M1" s="6" t="s">
        <v>1</v>
      </c>
      <c r="N1" s="6" t="s">
        <v>5</v>
      </c>
      <c r="O1" s="7"/>
    </row>
    <row r="2" spans="1:15" x14ac:dyDescent="0.25">
      <c r="A2" s="4">
        <v>162</v>
      </c>
      <c r="B2" s="4">
        <v>154</v>
      </c>
      <c r="C2" s="4">
        <v>162</v>
      </c>
      <c r="E2" s="4">
        <v>164</v>
      </c>
      <c r="F2" s="4">
        <v>154</v>
      </c>
      <c r="G2" s="4">
        <v>164</v>
      </c>
      <c r="H2" s="4">
        <v>178</v>
      </c>
      <c r="I2" s="4">
        <v>164</v>
      </c>
      <c r="K2" s="4" t="s">
        <v>23</v>
      </c>
      <c r="L2" s="4">
        <f>L14*L19+M14*M19</f>
        <v>163.72619047619048</v>
      </c>
      <c r="M2" s="4">
        <f>AVERAGE(Table26[SRS])</f>
        <v>165.4</v>
      </c>
      <c r="N2" s="4">
        <f>AVERAGE(Table26[all])</f>
        <v>164.6</v>
      </c>
    </row>
    <row r="3" spans="1:15" x14ac:dyDescent="0.25">
      <c r="A3" s="4">
        <v>164</v>
      </c>
      <c r="B3" s="4">
        <v>151</v>
      </c>
      <c r="C3" s="4">
        <v>164</v>
      </c>
      <c r="E3" s="4">
        <v>165</v>
      </c>
      <c r="F3" s="4">
        <v>159</v>
      </c>
      <c r="G3" s="4">
        <v>165</v>
      </c>
      <c r="H3" s="4">
        <v>163</v>
      </c>
      <c r="I3" s="4">
        <v>162</v>
      </c>
      <c r="K3" s="4" t="s">
        <v>6</v>
      </c>
      <c r="L3" s="4"/>
      <c r="M3" s="4">
        <f>_xlfn.VAR.S(Table26[SRS])</f>
        <v>45.155555555555559</v>
      </c>
      <c r="N3" s="4">
        <f>_xlfn.VAR.S(Table26[all])</f>
        <v>44.011764705882356</v>
      </c>
    </row>
    <row r="4" spans="1:15" x14ac:dyDescent="0.25">
      <c r="A4" s="4">
        <v>164</v>
      </c>
      <c r="B4" s="4">
        <v>155</v>
      </c>
      <c r="C4" s="4">
        <v>164</v>
      </c>
      <c r="E4" s="4">
        <v>175</v>
      </c>
      <c r="F4" s="4">
        <v>157</v>
      </c>
      <c r="G4" s="4">
        <v>175</v>
      </c>
      <c r="H4" s="4">
        <v>167</v>
      </c>
      <c r="I4" s="4">
        <v>164</v>
      </c>
      <c r="K4" s="4" t="s">
        <v>22</v>
      </c>
      <c r="L4" s="4">
        <f>L14^2*L21+M14^2*M21</f>
        <v>2.0253117913832197</v>
      </c>
      <c r="M4" s="4">
        <f>M3/10</f>
        <v>4.5155555555555562</v>
      </c>
      <c r="N4" s="4"/>
    </row>
    <row r="5" spans="1:15" x14ac:dyDescent="0.25">
      <c r="A5" s="4">
        <v>165</v>
      </c>
      <c r="B5" s="4">
        <v>156</v>
      </c>
      <c r="C5" s="4">
        <v>165</v>
      </c>
      <c r="E5" s="4">
        <v>167</v>
      </c>
      <c r="F5" s="4">
        <v>155</v>
      </c>
      <c r="G5" s="4">
        <v>167</v>
      </c>
      <c r="H5" s="4">
        <v>170</v>
      </c>
      <c r="I5" s="4">
        <v>165</v>
      </c>
      <c r="K5" s="4" t="s">
        <v>24</v>
      </c>
      <c r="L5" s="4">
        <f>SQRT(L4)</f>
        <v>1.4231344951842113</v>
      </c>
      <c r="M5" s="8">
        <f>SQRT(M4)</f>
        <v>2.1249836600678971</v>
      </c>
      <c r="N5" s="4">
        <f>_xlfn.STDEV.S(Table26[all])</f>
        <v>6.6341363195130647</v>
      </c>
    </row>
    <row r="6" spans="1:15" x14ac:dyDescent="0.25">
      <c r="A6" s="4">
        <v>166</v>
      </c>
      <c r="B6" s="4">
        <v>157</v>
      </c>
      <c r="C6" s="4">
        <v>166</v>
      </c>
      <c r="E6" s="4">
        <v>167</v>
      </c>
      <c r="F6" s="4"/>
      <c r="G6" s="4">
        <v>167</v>
      </c>
      <c r="H6" s="4">
        <v>157</v>
      </c>
      <c r="I6" s="4">
        <v>166</v>
      </c>
      <c r="K6" s="4" t="s">
        <v>3</v>
      </c>
      <c r="L6" s="4">
        <f>L5/L2*100</f>
        <v>0.8692161535335835</v>
      </c>
      <c r="M6" s="4">
        <f>M5/M2*100</f>
        <v>1.2847543289406875</v>
      </c>
      <c r="N6" s="4">
        <f>N5/N2*100</f>
        <v>4.0304594893761028</v>
      </c>
    </row>
    <row r="7" spans="1:15" x14ac:dyDescent="0.25">
      <c r="A7" s="4">
        <v>167</v>
      </c>
      <c r="B7" s="4">
        <v>157</v>
      </c>
      <c r="C7" s="4">
        <v>167</v>
      </c>
      <c r="E7" s="4">
        <v>178</v>
      </c>
      <c r="F7" s="4"/>
      <c r="G7" s="4">
        <v>178</v>
      </c>
      <c r="H7" s="4">
        <v>154</v>
      </c>
      <c r="I7" s="4">
        <v>167</v>
      </c>
      <c r="K7" s="4" t="s">
        <v>8</v>
      </c>
      <c r="L7" s="4">
        <f>L2+L5*1.96</f>
        <v>166.51553408675153</v>
      </c>
      <c r="M7" s="4">
        <f>M2+M5*1.96</f>
        <v>169.56496797373308</v>
      </c>
      <c r="N7" s="4"/>
    </row>
    <row r="8" spans="1:15" x14ac:dyDescent="0.25">
      <c r="A8" s="4">
        <v>167</v>
      </c>
      <c r="B8" s="4">
        <v>157</v>
      </c>
      <c r="C8" s="4">
        <v>167</v>
      </c>
      <c r="E8" s="4"/>
      <c r="F8" s="4"/>
      <c r="G8" s="4">
        <v>154</v>
      </c>
      <c r="H8" s="4">
        <v>168</v>
      </c>
      <c r="I8" s="4">
        <v>167</v>
      </c>
      <c r="K8" s="4" t="s">
        <v>7</v>
      </c>
      <c r="L8" s="4">
        <f>L2-L5*1.96</f>
        <v>160.93684686562943</v>
      </c>
      <c r="M8" s="4">
        <f>M2-M5*1.96</f>
        <v>161.23503202626694</v>
      </c>
      <c r="N8" s="4"/>
    </row>
    <row r="9" spans="1:15" x14ac:dyDescent="0.25">
      <c r="A9" s="4">
        <v>167</v>
      </c>
      <c r="B9" s="4">
        <v>159</v>
      </c>
      <c r="C9" s="4">
        <v>167</v>
      </c>
      <c r="E9" s="4"/>
      <c r="F9" s="4"/>
      <c r="G9" s="4">
        <v>159</v>
      </c>
      <c r="H9" s="4">
        <v>167</v>
      </c>
      <c r="I9" s="4">
        <v>167</v>
      </c>
      <c r="K9" s="4" t="s">
        <v>3</v>
      </c>
      <c r="L9" s="4">
        <f>L5/L2*100</f>
        <v>0.8692161535335835</v>
      </c>
      <c r="M9" s="4">
        <f>M5/M2*100</f>
        <v>1.2847543289406875</v>
      </c>
      <c r="N9" s="4"/>
    </row>
    <row r="10" spans="1:15" x14ac:dyDescent="0.25">
      <c r="A10" s="4">
        <v>167</v>
      </c>
      <c r="B10" s="4">
        <v>159</v>
      </c>
      <c r="C10" s="4">
        <v>167</v>
      </c>
      <c r="E10" s="4"/>
      <c r="F10" s="4"/>
      <c r="G10" s="4">
        <v>157</v>
      </c>
      <c r="H10" s="4">
        <v>163</v>
      </c>
      <c r="I10" s="4">
        <v>167</v>
      </c>
      <c r="K10" s="4" t="s">
        <v>9</v>
      </c>
      <c r="L10" s="4">
        <f>L7-L8</f>
        <v>5.5786872211220953</v>
      </c>
      <c r="M10" s="4">
        <f>M7-M8</f>
        <v>8.3299359474661401</v>
      </c>
      <c r="N10" s="4"/>
    </row>
    <row r="11" spans="1:15" x14ac:dyDescent="0.25">
      <c r="A11" s="4">
        <v>167</v>
      </c>
      <c r="B11" s="4">
        <v>160</v>
      </c>
      <c r="C11" s="4">
        <v>167</v>
      </c>
      <c r="E11" s="4"/>
      <c r="F11" s="4"/>
      <c r="G11" s="4">
        <v>155</v>
      </c>
      <c r="H11" s="4">
        <v>167</v>
      </c>
      <c r="I11" s="4">
        <v>167</v>
      </c>
    </row>
    <row r="12" spans="1:15" x14ac:dyDescent="0.25">
      <c r="A12" s="4">
        <v>168</v>
      </c>
      <c r="B12" s="4">
        <v>161</v>
      </c>
      <c r="C12" s="4">
        <v>168</v>
      </c>
      <c r="E12" s="4"/>
      <c r="F12" s="4"/>
      <c r="G12" s="4"/>
      <c r="H12" s="4"/>
      <c r="I12" s="4">
        <v>168</v>
      </c>
    </row>
    <row r="13" spans="1:15" x14ac:dyDescent="0.25">
      <c r="A13" s="4">
        <v>168</v>
      </c>
      <c r="B13" s="4">
        <v>161</v>
      </c>
      <c r="C13" s="4">
        <v>168</v>
      </c>
      <c r="E13" s="4"/>
      <c r="F13" s="4"/>
      <c r="G13" s="4"/>
      <c r="H13" s="4"/>
      <c r="I13" s="4">
        <v>168</v>
      </c>
      <c r="K13" s="6" t="s">
        <v>14</v>
      </c>
      <c r="L13" s="6" t="s">
        <v>17</v>
      </c>
      <c r="M13" s="6" t="s">
        <v>18</v>
      </c>
    </row>
    <row r="14" spans="1:15" x14ac:dyDescent="0.25">
      <c r="A14" s="4">
        <v>170</v>
      </c>
      <c r="B14" s="4">
        <v>163</v>
      </c>
      <c r="C14" s="4">
        <v>170</v>
      </c>
      <c r="E14" s="4"/>
      <c r="F14" s="4"/>
      <c r="G14" s="4"/>
      <c r="H14" s="4"/>
      <c r="I14" s="4">
        <v>170</v>
      </c>
      <c r="K14" s="4" t="s">
        <v>16</v>
      </c>
      <c r="L14" s="4">
        <f>COUNT(Table14[Laki-laki])/COUNT(Table14[all])</f>
        <v>0.5714285714285714</v>
      </c>
      <c r="M14" s="4">
        <f>COUNT(Table14[Perempuan])/COUNT(Table14[all])</f>
        <v>0.42857142857142855</v>
      </c>
    </row>
    <row r="15" spans="1:15" x14ac:dyDescent="0.25">
      <c r="A15" s="4">
        <v>170</v>
      </c>
      <c r="B15" s="4">
        <v>163</v>
      </c>
      <c r="C15" s="4">
        <v>170</v>
      </c>
      <c r="E15" s="4"/>
      <c r="F15" s="4"/>
      <c r="G15" s="4"/>
      <c r="H15" s="4"/>
      <c r="I15" s="4">
        <v>170</v>
      </c>
      <c r="K15" s="4" t="s">
        <v>19</v>
      </c>
      <c r="L15" s="4">
        <f>COUNT(Table26[Laki-laki])/COUNT(Table14[Laki-laki])</f>
        <v>0.3</v>
      </c>
      <c r="M15" s="4">
        <f>COUNT(Table26[Perempuan])/COUNT(Table14[Perempuan])</f>
        <v>0.26666666666666666</v>
      </c>
    </row>
    <row r="16" spans="1:15" x14ac:dyDescent="0.25">
      <c r="A16" s="4">
        <v>171</v>
      </c>
      <c r="B16" s="4">
        <v>170</v>
      </c>
      <c r="C16" s="4">
        <v>171</v>
      </c>
      <c r="E16" s="4"/>
      <c r="F16" s="4"/>
      <c r="G16" s="4"/>
      <c r="H16" s="4"/>
      <c r="I16" s="4">
        <v>171</v>
      </c>
    </row>
    <row r="17" spans="1:13" x14ac:dyDescent="0.25">
      <c r="A17" s="4">
        <v>173</v>
      </c>
      <c r="B17" s="4"/>
      <c r="C17" s="4">
        <v>173</v>
      </c>
      <c r="E17" s="4"/>
      <c r="F17" s="4"/>
      <c r="G17" s="4"/>
      <c r="H17" s="4"/>
      <c r="I17" s="4">
        <v>173</v>
      </c>
    </row>
    <row r="18" spans="1:13" x14ac:dyDescent="0.25">
      <c r="A18" s="4">
        <v>174</v>
      </c>
      <c r="B18" s="4"/>
      <c r="C18" s="4">
        <v>174</v>
      </c>
      <c r="E18" s="4"/>
      <c r="F18" s="4"/>
      <c r="G18" s="4"/>
      <c r="H18" s="4"/>
      <c r="I18" s="4">
        <v>174</v>
      </c>
      <c r="K18" s="6" t="s">
        <v>15</v>
      </c>
      <c r="L18" s="6" t="s">
        <v>17</v>
      </c>
      <c r="M18" s="6" t="s">
        <v>18</v>
      </c>
    </row>
    <row r="19" spans="1:13" x14ac:dyDescent="0.25">
      <c r="A19" s="4">
        <v>175</v>
      </c>
      <c r="B19" s="4"/>
      <c r="C19" s="4">
        <v>175</v>
      </c>
      <c r="E19" s="4"/>
      <c r="F19" s="4"/>
      <c r="G19" s="4"/>
      <c r="H19" s="4"/>
      <c r="I19" s="4">
        <v>175</v>
      </c>
      <c r="K19" s="4" t="s">
        <v>20</v>
      </c>
      <c r="L19" s="4">
        <f>AVERAGE(Table26[Laki-laki])</f>
        <v>169.33333333333334</v>
      </c>
      <c r="M19" s="4">
        <f>AVERAGE(Table26[Perempuan])</f>
        <v>156.25</v>
      </c>
    </row>
    <row r="20" spans="1:13" x14ac:dyDescent="0.25">
      <c r="A20" s="4">
        <v>175</v>
      </c>
      <c r="B20" s="4"/>
      <c r="C20" s="4">
        <v>175</v>
      </c>
      <c r="E20" s="4"/>
      <c r="F20" s="4"/>
      <c r="G20" s="4"/>
      <c r="H20" s="4"/>
      <c r="I20" s="4">
        <v>175</v>
      </c>
      <c r="K20" s="4" t="s">
        <v>13</v>
      </c>
      <c r="L20" s="4">
        <f>_xlfn.VAR.S(Table26[Laki-laki])</f>
        <v>33.066666666666663</v>
      </c>
      <c r="M20" s="4">
        <f>_xlfn.VAR.S(Table26[Perempuan])</f>
        <v>4.916666666666667</v>
      </c>
    </row>
    <row r="21" spans="1:13" x14ac:dyDescent="0.25">
      <c r="A21" s="4">
        <v>178</v>
      </c>
      <c r="B21" s="4"/>
      <c r="C21" s="4">
        <v>178</v>
      </c>
      <c r="E21" s="4"/>
      <c r="F21" s="4"/>
      <c r="G21" s="4"/>
      <c r="H21" s="4"/>
      <c r="I21" s="4">
        <v>178</v>
      </c>
      <c r="K21" s="4" t="s">
        <v>21</v>
      </c>
      <c r="L21" s="4">
        <f>L20/COUNT(Table26[Laki-laki])</f>
        <v>5.5111111111111102</v>
      </c>
      <c r="M21" s="4">
        <f>M20/COUNT(Table26[Perempuan])</f>
        <v>1.2291666666666667</v>
      </c>
    </row>
    <row r="22" spans="1:13" x14ac:dyDescent="0.25">
      <c r="A22" s="4"/>
      <c r="B22" s="4"/>
      <c r="C22" s="4">
        <v>170</v>
      </c>
      <c r="E22" s="4"/>
      <c r="F22" s="4"/>
      <c r="G22" s="4"/>
      <c r="H22" s="4"/>
      <c r="I22" s="4">
        <v>151</v>
      </c>
    </row>
    <row r="23" spans="1:13" x14ac:dyDescent="0.25">
      <c r="A23" s="4"/>
      <c r="B23" s="4"/>
      <c r="C23" s="4">
        <v>163</v>
      </c>
      <c r="E23" s="4"/>
      <c r="F23" s="4"/>
      <c r="G23" s="4"/>
      <c r="H23" s="4"/>
      <c r="I23" s="4">
        <v>154</v>
      </c>
    </row>
    <row r="24" spans="1:13" x14ac:dyDescent="0.25">
      <c r="A24" s="4"/>
      <c r="B24" s="4"/>
      <c r="C24" s="4">
        <v>163</v>
      </c>
      <c r="E24" s="4"/>
      <c r="F24" s="4"/>
      <c r="G24" s="4"/>
      <c r="H24" s="4"/>
      <c r="I24" s="4">
        <v>155</v>
      </c>
    </row>
    <row r="25" spans="1:13" x14ac:dyDescent="0.25">
      <c r="A25" s="4"/>
      <c r="B25" s="4"/>
      <c r="C25" s="4">
        <v>161</v>
      </c>
      <c r="E25" s="4"/>
      <c r="F25" s="4"/>
      <c r="G25" s="4"/>
      <c r="H25" s="4"/>
      <c r="I25" s="4">
        <v>156</v>
      </c>
    </row>
    <row r="26" spans="1:13" x14ac:dyDescent="0.25">
      <c r="A26" s="4"/>
      <c r="B26" s="4"/>
      <c r="C26" s="4">
        <v>161</v>
      </c>
      <c r="E26" s="4"/>
      <c r="F26" s="4"/>
      <c r="G26" s="4"/>
      <c r="H26" s="4"/>
      <c r="I26" s="4">
        <v>157</v>
      </c>
    </row>
    <row r="27" spans="1:13" x14ac:dyDescent="0.25">
      <c r="A27" s="4"/>
      <c r="B27" s="4"/>
      <c r="C27" s="4">
        <v>160</v>
      </c>
      <c r="E27" s="4"/>
      <c r="F27" s="4"/>
      <c r="G27" s="4"/>
      <c r="H27" s="4"/>
      <c r="I27" s="4">
        <v>157</v>
      </c>
    </row>
    <row r="28" spans="1:13" x14ac:dyDescent="0.25">
      <c r="A28" s="4"/>
      <c r="B28" s="4"/>
      <c r="C28" s="4">
        <v>159</v>
      </c>
      <c r="E28" s="4"/>
      <c r="F28" s="4"/>
      <c r="G28" s="4"/>
      <c r="H28" s="4"/>
      <c r="I28" s="4">
        <v>157</v>
      </c>
    </row>
    <row r="29" spans="1:13" x14ac:dyDescent="0.25">
      <c r="A29" s="4"/>
      <c r="B29" s="4"/>
      <c r="C29" s="4">
        <v>159</v>
      </c>
      <c r="E29" s="4"/>
      <c r="F29" s="4"/>
      <c r="G29" s="4"/>
      <c r="H29" s="4"/>
      <c r="I29" s="4">
        <v>159</v>
      </c>
    </row>
    <row r="30" spans="1:13" x14ac:dyDescent="0.25">
      <c r="A30" s="4"/>
      <c r="B30" s="4"/>
      <c r="C30" s="4">
        <v>157</v>
      </c>
      <c r="E30" s="4"/>
      <c r="F30" s="4"/>
      <c r="G30" s="4"/>
      <c r="H30" s="4"/>
      <c r="I30" s="4">
        <v>159</v>
      </c>
    </row>
    <row r="31" spans="1:13" x14ac:dyDescent="0.25">
      <c r="A31" s="4"/>
      <c r="B31" s="4"/>
      <c r="C31" s="4">
        <v>157</v>
      </c>
      <c r="E31" s="4"/>
      <c r="F31" s="4"/>
      <c r="G31" s="4"/>
      <c r="H31" s="4"/>
      <c r="I31" s="4">
        <v>160</v>
      </c>
    </row>
    <row r="32" spans="1:13" x14ac:dyDescent="0.25">
      <c r="A32" s="4"/>
      <c r="B32" s="4"/>
      <c r="C32" s="4">
        <v>157</v>
      </c>
      <c r="E32" s="4"/>
      <c r="F32" s="4"/>
      <c r="G32" s="4"/>
      <c r="H32" s="4"/>
      <c r="I32" s="4">
        <v>161</v>
      </c>
    </row>
    <row r="33" spans="1:9" x14ac:dyDescent="0.25">
      <c r="A33" s="4"/>
      <c r="B33" s="4"/>
      <c r="C33" s="4">
        <v>156</v>
      </c>
      <c r="E33" s="4"/>
      <c r="F33" s="4"/>
      <c r="G33" s="4"/>
      <c r="H33" s="4"/>
      <c r="I33" s="4">
        <v>161</v>
      </c>
    </row>
    <row r="34" spans="1:9" x14ac:dyDescent="0.25">
      <c r="A34" s="4"/>
      <c r="B34" s="4"/>
      <c r="C34" s="4">
        <v>155</v>
      </c>
      <c r="E34" s="4"/>
      <c r="F34" s="4"/>
      <c r="G34" s="4"/>
      <c r="H34" s="4"/>
      <c r="I34" s="4">
        <v>163</v>
      </c>
    </row>
    <row r="35" spans="1:9" x14ac:dyDescent="0.25">
      <c r="A35" s="4"/>
      <c r="B35" s="4"/>
      <c r="C35" s="4">
        <v>154</v>
      </c>
      <c r="E35" s="4"/>
      <c r="F35" s="4"/>
      <c r="G35" s="4"/>
      <c r="H35" s="4"/>
      <c r="I35" s="4">
        <v>163</v>
      </c>
    </row>
    <row r="36" spans="1:9" x14ac:dyDescent="0.25">
      <c r="A36" s="4"/>
      <c r="B36" s="4"/>
      <c r="C36" s="4">
        <v>151</v>
      </c>
      <c r="E36" s="4"/>
      <c r="F36" s="4"/>
      <c r="G36" s="4"/>
      <c r="H36" s="4"/>
      <c r="I36" s="4">
        <v>170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97E1-DF9D-4B33-B864-C4E05CB1F608}">
  <dimension ref="A1:Q36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0.42578125" style="3" customWidth="1"/>
    <col min="2" max="2" width="13.42578125" style="3" customWidth="1"/>
    <col min="3" max="3" width="11.42578125" style="3" customWidth="1"/>
    <col min="4" max="4" width="14.42578125" style="3" customWidth="1"/>
    <col min="5" max="5" width="11.42578125" style="3" customWidth="1"/>
    <col min="6" max="6" width="9.7109375" style="3" customWidth="1"/>
    <col min="7" max="10" width="9.140625" style="3"/>
    <col min="11" max="11" width="40.140625" style="3" customWidth="1"/>
    <col min="12" max="12" width="13.5703125" style="3" customWidth="1"/>
    <col min="13" max="13" width="13.7109375" style="3" customWidth="1"/>
    <col min="14" max="14" width="9.28515625" style="3" customWidth="1"/>
    <col min="15" max="15" width="9.5703125" style="3" customWidth="1"/>
    <col min="16" max="16384" width="9.140625" style="3"/>
  </cols>
  <sheetData>
    <row r="1" spans="1:17" x14ac:dyDescent="0.25">
      <c r="A1" s="3" t="s">
        <v>10</v>
      </c>
      <c r="B1" s="3" t="s">
        <v>11</v>
      </c>
      <c r="C1" s="3" t="s">
        <v>0</v>
      </c>
      <c r="E1" s="3" t="s">
        <v>10</v>
      </c>
      <c r="F1" s="3" t="s">
        <v>11</v>
      </c>
      <c r="G1" s="3" t="s">
        <v>4</v>
      </c>
      <c r="H1" s="3" t="s">
        <v>12</v>
      </c>
      <c r="I1" s="3" t="s">
        <v>0</v>
      </c>
      <c r="K1" s="4"/>
      <c r="L1" s="4" t="s">
        <v>4</v>
      </c>
      <c r="M1" s="4" t="s">
        <v>1</v>
      </c>
      <c r="N1" s="4" t="s">
        <v>5</v>
      </c>
    </row>
    <row r="2" spans="1:17" x14ac:dyDescent="0.25">
      <c r="A2" s="4">
        <v>162</v>
      </c>
      <c r="B2" s="4">
        <v>154</v>
      </c>
      <c r="C2" s="4">
        <v>162</v>
      </c>
      <c r="E2" s="4">
        <v>170</v>
      </c>
      <c r="F2" s="4">
        <v>157</v>
      </c>
      <c r="G2" s="4">
        <v>170</v>
      </c>
      <c r="H2" s="4">
        <v>163</v>
      </c>
      <c r="I2" s="4">
        <v>164</v>
      </c>
      <c r="K2" s="4" t="s">
        <v>23</v>
      </c>
      <c r="L2" s="4">
        <f>L14*L19+M14*M19</f>
        <v>164.10714285714283</v>
      </c>
      <c r="M2" s="4">
        <f>AVERAGE(Table2[SRS])</f>
        <v>165.25</v>
      </c>
      <c r="N2" s="4">
        <f>AVERAGE(Table2[all])</f>
        <v>164.6</v>
      </c>
    </row>
    <row r="3" spans="1:17" x14ac:dyDescent="0.25">
      <c r="A3" s="4">
        <v>164</v>
      </c>
      <c r="B3" s="4">
        <v>151</v>
      </c>
      <c r="C3" s="4">
        <v>164</v>
      </c>
      <c r="E3" s="4">
        <v>166</v>
      </c>
      <c r="F3" s="4">
        <v>151</v>
      </c>
      <c r="G3" s="4">
        <v>166</v>
      </c>
      <c r="H3" s="4">
        <v>170</v>
      </c>
      <c r="I3" s="4">
        <v>162</v>
      </c>
      <c r="K3" s="4" t="s">
        <v>6</v>
      </c>
      <c r="L3" s="4"/>
      <c r="M3" s="4">
        <f>_xlfn.VAR.S(H2:H9)</f>
        <v>47.071428571428569</v>
      </c>
      <c r="N3" s="4"/>
    </row>
    <row r="4" spans="1:17" x14ac:dyDescent="0.25">
      <c r="A4" s="4">
        <v>164</v>
      </c>
      <c r="B4" s="4">
        <v>155</v>
      </c>
      <c r="C4" s="4">
        <v>164</v>
      </c>
      <c r="E4" s="4">
        <v>171</v>
      </c>
      <c r="F4" s="4">
        <v>155</v>
      </c>
      <c r="G4" s="4">
        <v>171</v>
      </c>
      <c r="H4" s="4">
        <v>157</v>
      </c>
      <c r="I4" s="4">
        <v>164</v>
      </c>
      <c r="K4" s="4" t="s">
        <v>22</v>
      </c>
      <c r="L4" s="4">
        <f>L14^2*L21+M14^2*M21</f>
        <v>2.645833333333333</v>
      </c>
      <c r="M4" s="4">
        <f>_xlfn.VAR.S(Table2[SRS])*Q11/8</f>
        <v>4.5390306122448978</v>
      </c>
      <c r="N4" s="4"/>
    </row>
    <row r="5" spans="1:17" x14ac:dyDescent="0.25">
      <c r="A5" s="4">
        <v>165</v>
      </c>
      <c r="B5" s="4">
        <v>156</v>
      </c>
      <c r="C5" s="4">
        <v>165</v>
      </c>
      <c r="E5" s="4">
        <v>167</v>
      </c>
      <c r="F5" s="4">
        <v>170</v>
      </c>
      <c r="G5" s="4">
        <v>167</v>
      </c>
      <c r="H5" s="4">
        <v>155</v>
      </c>
      <c r="I5" s="4">
        <v>165</v>
      </c>
      <c r="K5" s="4" t="s">
        <v>24</v>
      </c>
      <c r="L5" s="5">
        <f>SQRT(L4)</f>
        <v>1.6266017746619279</v>
      </c>
      <c r="M5" s="4">
        <f>SQRT(M4)</f>
        <v>2.1305000850140554</v>
      </c>
      <c r="N5" s="4">
        <f>_xlfn.STDEV.S(Table2[all])</f>
        <v>6.6341363195130647</v>
      </c>
    </row>
    <row r="6" spans="1:17" x14ac:dyDescent="0.25">
      <c r="A6" s="4">
        <v>166</v>
      </c>
      <c r="B6" s="4">
        <v>157</v>
      </c>
      <c r="C6" s="4">
        <v>166</v>
      </c>
      <c r="E6" s="4"/>
      <c r="F6" s="4"/>
      <c r="G6" s="4">
        <v>157</v>
      </c>
      <c r="H6" s="4">
        <v>166</v>
      </c>
      <c r="I6" s="4">
        <v>166</v>
      </c>
      <c r="K6" s="4" t="s">
        <v>3</v>
      </c>
      <c r="L6" s="4">
        <f>L5/L2*100</f>
        <v>0.9911828006645047</v>
      </c>
      <c r="M6" s="4">
        <f>M5/M2*100</f>
        <v>1.2892587503867203</v>
      </c>
      <c r="N6" s="4">
        <f>N5/N2*100</f>
        <v>4.0304594893761028</v>
      </c>
    </row>
    <row r="7" spans="1:17" x14ac:dyDescent="0.25">
      <c r="A7" s="4">
        <v>167</v>
      </c>
      <c r="B7" s="4">
        <v>157</v>
      </c>
      <c r="C7" s="4">
        <v>167</v>
      </c>
      <c r="E7" s="4"/>
      <c r="F7" s="4"/>
      <c r="G7" s="4">
        <v>151</v>
      </c>
      <c r="H7" s="4">
        <v>165</v>
      </c>
      <c r="I7" s="4">
        <v>167</v>
      </c>
      <c r="K7" s="4" t="s">
        <v>8</v>
      </c>
      <c r="L7" s="4">
        <f>L2+L5*1.96</f>
        <v>167.29528233548021</v>
      </c>
      <c r="M7" s="4">
        <f>M2+M5*1.96</f>
        <v>169.42578016662756</v>
      </c>
      <c r="N7" s="4"/>
    </row>
    <row r="8" spans="1:17" x14ac:dyDescent="0.25">
      <c r="A8" s="4">
        <v>167</v>
      </c>
      <c r="B8" s="4">
        <v>157</v>
      </c>
      <c r="C8" s="4">
        <v>167</v>
      </c>
      <c r="E8" s="4"/>
      <c r="F8" s="4"/>
      <c r="G8" s="4">
        <v>155</v>
      </c>
      <c r="H8" s="4">
        <v>175</v>
      </c>
      <c r="I8" s="4">
        <v>167</v>
      </c>
      <c r="K8" s="4" t="s">
        <v>7</v>
      </c>
      <c r="L8" s="4">
        <f>L2-L5*1.96</f>
        <v>160.91900337880546</v>
      </c>
      <c r="M8" s="4">
        <f>M2-M5*1.96</f>
        <v>161.07421983337244</v>
      </c>
      <c r="N8" s="4"/>
    </row>
    <row r="9" spans="1:17" x14ac:dyDescent="0.25">
      <c r="A9" s="4">
        <v>167</v>
      </c>
      <c r="B9" s="4">
        <v>159</v>
      </c>
      <c r="C9" s="4">
        <v>167</v>
      </c>
      <c r="E9" s="4"/>
      <c r="F9" s="4"/>
      <c r="G9" s="4">
        <v>170</v>
      </c>
      <c r="H9" s="4">
        <v>171</v>
      </c>
      <c r="I9" s="4">
        <v>167</v>
      </c>
      <c r="K9" s="4" t="s">
        <v>3</v>
      </c>
      <c r="L9" s="4">
        <f>L5/L2*100</f>
        <v>0.9911828006645047</v>
      </c>
      <c r="M9" s="4">
        <f>M5/M2*100</f>
        <v>1.2892587503867203</v>
      </c>
      <c r="N9" s="4"/>
    </row>
    <row r="10" spans="1:17" ht="15.75" thickBot="1" x14ac:dyDescent="0.3">
      <c r="A10" s="4">
        <v>167</v>
      </c>
      <c r="B10" s="4">
        <v>159</v>
      </c>
      <c r="C10" s="4">
        <v>167</v>
      </c>
      <c r="E10" s="4"/>
      <c r="F10" s="4"/>
      <c r="G10" s="4"/>
      <c r="H10" s="4"/>
      <c r="I10" s="4">
        <v>167</v>
      </c>
      <c r="K10" s="4" t="s">
        <v>9</v>
      </c>
      <c r="L10" s="4">
        <f>L7-L8</f>
        <v>6.3762789566747529</v>
      </c>
      <c r="M10" s="4">
        <f>M7-M8</f>
        <v>8.3515603332551223</v>
      </c>
      <c r="N10" s="4"/>
    </row>
    <row r="11" spans="1:17" ht="15.75" thickBot="1" x14ac:dyDescent="0.3">
      <c r="A11" s="4">
        <v>167</v>
      </c>
      <c r="B11" s="4">
        <v>160</v>
      </c>
      <c r="C11" s="4">
        <v>167</v>
      </c>
      <c r="E11" s="4"/>
      <c r="F11" s="4"/>
      <c r="G11" s="4"/>
      <c r="H11" s="4"/>
      <c r="I11" s="4">
        <v>167</v>
      </c>
      <c r="P11" s="1" t="s">
        <v>2</v>
      </c>
      <c r="Q11" s="2">
        <f>(COUNT(Table2[all])-COUNT(Table2[SRS]))/COUNT(Table2[all])</f>
        <v>0.77142857142857146</v>
      </c>
    </row>
    <row r="12" spans="1:17" x14ac:dyDescent="0.25">
      <c r="A12" s="4">
        <v>168</v>
      </c>
      <c r="B12" s="4">
        <v>161</v>
      </c>
      <c r="C12" s="4">
        <v>168</v>
      </c>
      <c r="E12" s="4"/>
      <c r="F12" s="4"/>
      <c r="G12" s="4"/>
      <c r="H12" s="4"/>
      <c r="I12" s="4">
        <v>168</v>
      </c>
    </row>
    <row r="13" spans="1:17" x14ac:dyDescent="0.25">
      <c r="A13" s="4">
        <v>168</v>
      </c>
      <c r="B13" s="4">
        <v>161</v>
      </c>
      <c r="C13" s="4">
        <v>168</v>
      </c>
      <c r="E13" s="4"/>
      <c r="F13" s="4"/>
      <c r="G13" s="4"/>
      <c r="H13" s="4"/>
      <c r="I13" s="4">
        <v>168</v>
      </c>
      <c r="K13" s="4" t="s">
        <v>14</v>
      </c>
      <c r="L13" s="4" t="s">
        <v>17</v>
      </c>
      <c r="M13" s="4" t="s">
        <v>18</v>
      </c>
    </row>
    <row r="14" spans="1:17" x14ac:dyDescent="0.25">
      <c r="A14" s="4">
        <v>170</v>
      </c>
      <c r="B14" s="4">
        <v>163</v>
      </c>
      <c r="C14" s="4">
        <v>170</v>
      </c>
      <c r="E14" s="4"/>
      <c r="F14" s="4"/>
      <c r="G14" s="4"/>
      <c r="H14" s="4"/>
      <c r="I14" s="4">
        <v>170</v>
      </c>
      <c r="K14" s="4" t="s">
        <v>16</v>
      </c>
      <c r="L14" s="4">
        <f>COUNT(Table1[Laki-laki])/COUNT(Table1[all])</f>
        <v>0.5714285714285714</v>
      </c>
      <c r="M14" s="4">
        <f>COUNT(Table1[Perempuan])/COUNT(Table1[all])</f>
        <v>0.42857142857142855</v>
      </c>
    </row>
    <row r="15" spans="1:17" x14ac:dyDescent="0.25">
      <c r="A15" s="4">
        <v>170</v>
      </c>
      <c r="B15" s="4">
        <v>163</v>
      </c>
      <c r="C15" s="4">
        <v>170</v>
      </c>
      <c r="E15" s="4"/>
      <c r="F15" s="4"/>
      <c r="G15" s="4"/>
      <c r="H15" s="4"/>
      <c r="I15" s="4">
        <v>170</v>
      </c>
      <c r="K15" s="4" t="s">
        <v>19</v>
      </c>
      <c r="L15" s="4">
        <f>COUNT(Table2[Laki-laki])/COUNT(Table1[Laki-laki])</f>
        <v>0.2</v>
      </c>
      <c r="M15" s="4">
        <f>COUNT(Table2[Perempuan])/COUNT(Table1[Perempuan])</f>
        <v>0.26666666666666666</v>
      </c>
    </row>
    <row r="16" spans="1:17" x14ac:dyDescent="0.25">
      <c r="A16" s="4">
        <v>171</v>
      </c>
      <c r="B16" s="4">
        <v>170</v>
      </c>
      <c r="C16" s="4">
        <v>171</v>
      </c>
      <c r="E16" s="4"/>
      <c r="F16" s="4"/>
      <c r="G16" s="4"/>
      <c r="H16" s="4"/>
      <c r="I16" s="4">
        <v>171</v>
      </c>
    </row>
    <row r="17" spans="1:13" x14ac:dyDescent="0.25">
      <c r="A17" s="4">
        <v>173</v>
      </c>
      <c r="B17" s="4"/>
      <c r="C17" s="4">
        <v>173</v>
      </c>
      <c r="E17" s="4"/>
      <c r="F17" s="4"/>
      <c r="G17" s="4"/>
      <c r="H17" s="4"/>
      <c r="I17" s="4">
        <v>173</v>
      </c>
    </row>
    <row r="18" spans="1:13" x14ac:dyDescent="0.25">
      <c r="A18" s="4">
        <v>174</v>
      </c>
      <c r="B18" s="4"/>
      <c r="C18" s="4">
        <v>174</v>
      </c>
      <c r="E18" s="4"/>
      <c r="F18" s="4"/>
      <c r="G18" s="4"/>
      <c r="H18" s="4"/>
      <c r="I18" s="4">
        <v>174</v>
      </c>
      <c r="K18" s="4" t="s">
        <v>15</v>
      </c>
      <c r="L18" s="4" t="s">
        <v>17</v>
      </c>
      <c r="M18" s="4" t="s">
        <v>18</v>
      </c>
    </row>
    <row r="19" spans="1:13" x14ac:dyDescent="0.25">
      <c r="A19" s="4">
        <v>175</v>
      </c>
      <c r="B19" s="4"/>
      <c r="C19" s="4">
        <v>175</v>
      </c>
      <c r="E19" s="4"/>
      <c r="F19" s="4"/>
      <c r="G19" s="4"/>
      <c r="H19" s="4"/>
      <c r="I19" s="4">
        <v>175</v>
      </c>
      <c r="K19" s="4" t="s">
        <v>20</v>
      </c>
      <c r="L19" s="4">
        <f>AVERAGE(Table2[Laki-laki])</f>
        <v>168.5</v>
      </c>
      <c r="M19" s="4">
        <f>AVERAGE(Table2[Perempuan])</f>
        <v>158.25</v>
      </c>
    </row>
    <row r="20" spans="1:13" x14ac:dyDescent="0.25">
      <c r="A20" s="4">
        <v>175</v>
      </c>
      <c r="B20" s="4"/>
      <c r="C20" s="4">
        <v>175</v>
      </c>
      <c r="E20" s="4"/>
      <c r="F20" s="4"/>
      <c r="G20" s="4"/>
      <c r="H20" s="4"/>
      <c r="I20" s="4">
        <v>175</v>
      </c>
      <c r="K20" s="4" t="s">
        <v>13</v>
      </c>
      <c r="L20" s="4">
        <f>_xlfn.VAR.S(Table2[Laki-laki])</f>
        <v>5.666666666666667</v>
      </c>
      <c r="M20" s="4">
        <f>_xlfn.VAR.S(Table2[Perempuan])</f>
        <v>67.583333333333329</v>
      </c>
    </row>
    <row r="21" spans="1:13" x14ac:dyDescent="0.25">
      <c r="A21" s="4">
        <v>178</v>
      </c>
      <c r="B21" s="4"/>
      <c r="C21" s="4">
        <v>178</v>
      </c>
      <c r="E21" s="4"/>
      <c r="F21" s="4"/>
      <c r="G21" s="4"/>
      <c r="H21" s="4"/>
      <c r="I21" s="4">
        <v>178</v>
      </c>
      <c r="K21" s="4" t="s">
        <v>21</v>
      </c>
      <c r="L21" s="4">
        <f>(1-L15)*L20/COUNT(Table2[Laki-laki])</f>
        <v>1.1333333333333335</v>
      </c>
      <c r="M21" s="4">
        <f>(1-M15)*M20/COUNT(Table2[Perempuan])</f>
        <v>12.390277777777778</v>
      </c>
    </row>
    <row r="22" spans="1:13" x14ac:dyDescent="0.25">
      <c r="A22" s="4"/>
      <c r="B22" s="4"/>
      <c r="C22" s="4">
        <v>170</v>
      </c>
      <c r="E22" s="4"/>
      <c r="F22" s="4"/>
      <c r="G22" s="4"/>
      <c r="H22" s="4"/>
      <c r="I22" s="4">
        <v>151</v>
      </c>
    </row>
    <row r="23" spans="1:13" x14ac:dyDescent="0.25">
      <c r="A23" s="4"/>
      <c r="B23" s="4"/>
      <c r="C23" s="4">
        <v>163</v>
      </c>
      <c r="E23" s="4"/>
      <c r="F23" s="4"/>
      <c r="G23" s="4"/>
      <c r="H23" s="4"/>
      <c r="I23" s="4">
        <v>154</v>
      </c>
    </row>
    <row r="24" spans="1:13" x14ac:dyDescent="0.25">
      <c r="A24" s="4"/>
      <c r="B24" s="4"/>
      <c r="C24" s="4">
        <v>163</v>
      </c>
      <c r="E24" s="4"/>
      <c r="F24" s="4"/>
      <c r="G24" s="4"/>
      <c r="H24" s="4"/>
      <c r="I24" s="4">
        <v>155</v>
      </c>
    </row>
    <row r="25" spans="1:13" x14ac:dyDescent="0.25">
      <c r="A25" s="4"/>
      <c r="B25" s="4"/>
      <c r="C25" s="4">
        <v>161</v>
      </c>
      <c r="E25" s="4"/>
      <c r="F25" s="4"/>
      <c r="G25" s="4"/>
      <c r="H25" s="4"/>
      <c r="I25" s="4">
        <v>156</v>
      </c>
    </row>
    <row r="26" spans="1:13" x14ac:dyDescent="0.25">
      <c r="A26" s="4"/>
      <c r="B26" s="4"/>
      <c r="C26" s="4">
        <v>161</v>
      </c>
      <c r="E26" s="4"/>
      <c r="F26" s="4"/>
      <c r="G26" s="4"/>
      <c r="H26" s="4"/>
      <c r="I26" s="4">
        <v>157</v>
      </c>
    </row>
    <row r="27" spans="1:13" x14ac:dyDescent="0.25">
      <c r="A27" s="4"/>
      <c r="B27" s="4"/>
      <c r="C27" s="4">
        <v>160</v>
      </c>
      <c r="E27" s="4"/>
      <c r="F27" s="4"/>
      <c r="G27" s="4"/>
      <c r="H27" s="4"/>
      <c r="I27" s="4">
        <v>157</v>
      </c>
    </row>
    <row r="28" spans="1:13" x14ac:dyDescent="0.25">
      <c r="A28" s="4"/>
      <c r="B28" s="4"/>
      <c r="C28" s="4">
        <v>159</v>
      </c>
      <c r="E28" s="4"/>
      <c r="F28" s="4"/>
      <c r="G28" s="4"/>
      <c r="H28" s="4"/>
      <c r="I28" s="4">
        <v>157</v>
      </c>
    </row>
    <row r="29" spans="1:13" x14ac:dyDescent="0.25">
      <c r="A29" s="4"/>
      <c r="B29" s="4"/>
      <c r="C29" s="4">
        <v>159</v>
      </c>
      <c r="E29" s="4"/>
      <c r="F29" s="4"/>
      <c r="G29" s="4"/>
      <c r="H29" s="4"/>
      <c r="I29" s="4">
        <v>159</v>
      </c>
    </row>
    <row r="30" spans="1:13" x14ac:dyDescent="0.25">
      <c r="A30" s="4"/>
      <c r="B30" s="4"/>
      <c r="C30" s="4">
        <v>157</v>
      </c>
      <c r="E30" s="4"/>
      <c r="F30" s="4"/>
      <c r="G30" s="4"/>
      <c r="H30" s="4"/>
      <c r="I30" s="4">
        <v>159</v>
      </c>
    </row>
    <row r="31" spans="1:13" x14ac:dyDescent="0.25">
      <c r="A31" s="4"/>
      <c r="B31" s="4"/>
      <c r="C31" s="4">
        <v>157</v>
      </c>
      <c r="E31" s="4"/>
      <c r="F31" s="4"/>
      <c r="G31" s="4"/>
      <c r="H31" s="4"/>
      <c r="I31" s="4">
        <v>160</v>
      </c>
    </row>
    <row r="32" spans="1:13" x14ac:dyDescent="0.25">
      <c r="A32" s="4"/>
      <c r="B32" s="4"/>
      <c r="C32" s="4">
        <v>157</v>
      </c>
      <c r="E32" s="4"/>
      <c r="F32" s="4"/>
      <c r="G32" s="4"/>
      <c r="H32" s="4"/>
      <c r="I32" s="4">
        <v>161</v>
      </c>
    </row>
    <row r="33" spans="1:9" x14ac:dyDescent="0.25">
      <c r="A33" s="4"/>
      <c r="B33" s="4"/>
      <c r="C33" s="4">
        <v>156</v>
      </c>
      <c r="E33" s="4"/>
      <c r="F33" s="4"/>
      <c r="G33" s="4"/>
      <c r="H33" s="4"/>
      <c r="I33" s="4">
        <v>161</v>
      </c>
    </row>
    <row r="34" spans="1:9" x14ac:dyDescent="0.25">
      <c r="A34" s="4"/>
      <c r="B34" s="4"/>
      <c r="C34" s="4">
        <v>155</v>
      </c>
      <c r="E34" s="4"/>
      <c r="F34" s="4"/>
      <c r="G34" s="4"/>
      <c r="H34" s="4"/>
      <c r="I34" s="4">
        <v>163</v>
      </c>
    </row>
    <row r="35" spans="1:9" x14ac:dyDescent="0.25">
      <c r="A35" s="4"/>
      <c r="B35" s="4"/>
      <c r="C35" s="4">
        <v>154</v>
      </c>
      <c r="E35" s="4"/>
      <c r="F35" s="4"/>
      <c r="G35" s="4"/>
      <c r="H35" s="4"/>
      <c r="I35" s="4">
        <v>163</v>
      </c>
    </row>
    <row r="36" spans="1:9" x14ac:dyDescent="0.25">
      <c r="A36" s="4"/>
      <c r="B36" s="4"/>
      <c r="C36" s="4">
        <v>151</v>
      </c>
      <c r="E36" s="4"/>
      <c r="F36" s="4"/>
      <c r="G36" s="4"/>
      <c r="H36" s="4"/>
      <c r="I36" s="4">
        <v>170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</vt:lpstr>
      <vt:lpstr>WOR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nubisub</dc:creator>
  <cp:lastModifiedBy>nubisub</cp:lastModifiedBy>
  <dcterms:created xsi:type="dcterms:W3CDTF">2021-09-11T03:25:42Z</dcterms:created>
  <dcterms:modified xsi:type="dcterms:W3CDTF">2021-09-14T13:44:43Z</dcterms:modified>
</cp:coreProperties>
</file>