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k.scott\Desktop\HCVelimination\"/>
    </mc:Choice>
  </mc:AlternateContent>
  <bookViews>
    <workbookView xWindow="480" yWindow="84" windowWidth="20256" windowHeight="11388" tabRatio="923" activeTab="10"/>
  </bookViews>
  <sheets>
    <sheet name="Instructions" sheetId="7" r:id="rId1"/>
    <sheet name="demographics" sheetId="19" r:id="rId2"/>
    <sheet name="cases" sheetId="5" r:id="rId3"/>
    <sheet name="diagnoses" sheetId="12" r:id="rId4"/>
    <sheet name="disease" sheetId="4" r:id="rId5"/>
    <sheet name="cascade_all" sheetId="2" r:id="rId6"/>
    <sheet name="prev_PWID" sheetId="1" r:id="rId7"/>
    <sheet name="cascade_PWID" sheetId="3" r:id="rId8"/>
    <sheet name="Interventions_PWID" sheetId="13" r:id="rId9"/>
    <sheet name="other_epi" sheetId="6" r:id="rId10"/>
    <sheet name="costs" sheetId="8" r:id="rId11"/>
    <sheet name="health_utilities" sheetId="9" r:id="rId12"/>
    <sheet name="transition_rates" sheetId="10" r:id="rId13"/>
    <sheet name="HCC" sheetId="11" r:id="rId14"/>
    <sheet name="structure" sheetId="14" r:id="rId15"/>
    <sheet name="calibration_guess" sheetId="15" r:id="rId16"/>
  </sheets>
  <calcPr calcId="162913"/>
</workbook>
</file>

<file path=xl/calcChain.xml><?xml version="1.0" encoding="utf-8"?>
<calcChain xmlns="http://schemas.openxmlformats.org/spreadsheetml/2006/main">
  <c r="B30" i="8" l="1"/>
  <c r="B31" i="8"/>
  <c r="B43" i="6" l="1"/>
  <c r="B24" i="6"/>
  <c r="B18" i="6" l="1"/>
  <c r="B17" i="6"/>
  <c r="B16" i="6"/>
  <c r="B6" i="6"/>
  <c r="B15" i="6"/>
  <c r="B14" i="6"/>
  <c r="B13" i="6"/>
  <c r="B12" i="6"/>
  <c r="B11" i="6"/>
  <c r="B10" i="6"/>
  <c r="B9" i="6"/>
  <c r="B8" i="6"/>
  <c r="B7" i="6"/>
  <c r="B2" i="19" l="1"/>
  <c r="B3" i="19"/>
  <c r="B4" i="19"/>
  <c r="B5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C3" i="3"/>
  <c r="D3" i="3"/>
  <c r="E3" i="3"/>
  <c r="B3" i="3"/>
  <c r="D40" i="6" l="1"/>
  <c r="D39" i="6"/>
  <c r="B33" i="6" l="1"/>
  <c r="B20" i="10" l="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5" i="6"/>
  <c r="B30" i="6"/>
  <c r="B2" i="10" l="1"/>
</calcChain>
</file>

<file path=xl/comments1.xml><?xml version="1.0" encoding="utf-8"?>
<comments xmlns="http://schemas.openxmlformats.org/spreadsheetml/2006/main">
  <authors>
    <author>Nick</author>
  </authors>
  <commentList>
    <comment ref="D39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Burns L, Randall D, Hall W, Law M, Butler T, Bell J, et al. Opioid agonist pharmacotherapy in New SouthWales from 1985 to 2006: patient characteristics and patterns and predictors of treatment retention. Addiction 2009;104:1363–1372.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29% changed from covered to not covered between annual interviews
O’Keefe, D., Scott, N., Aitken, C., &amp; Dietze, P. (2017). Longitudinal analysis of change in individual-level needle and syringe coverage amongst a cohort of people who inject drugs in Melbourne, Australia. Drug and Alcohol Dependence, 176, 7-13.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35% reduction in injecting frequency for PWID on OST
Scott, N., Caulkins, J. P., Ritter, A., &amp; Dietze, P. (2015). How patterns of injecting drug use evolve in a cohort of people who inject drugs. Trends and Issues in Crime and Criminal Justice, (502), 1.
Also 0.41 from: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</commentList>
</comments>
</file>

<file path=xl/sharedStrings.xml><?xml version="1.0" encoding="utf-8"?>
<sst xmlns="http://schemas.openxmlformats.org/spreadsheetml/2006/main" count="311" uniqueCount="276">
  <si>
    <t>Year</t>
  </si>
  <si>
    <t>Prevalence among PWID</t>
  </si>
  <si>
    <t>F3</t>
  </si>
  <si>
    <t>F0-F1</t>
  </si>
  <si>
    <t>F2</t>
  </si>
  <si>
    <t>F4</t>
  </si>
  <si>
    <t>DC or HCC</t>
  </si>
  <si>
    <t>Proportion of people with chronic HCV who have liver disease stage</t>
  </si>
  <si>
    <t>Proportion of people with chronic HCV who are in care cascade stage</t>
  </si>
  <si>
    <t>RNA+ diagnosed</t>
  </si>
  <si>
    <t>Had a liver assessment</t>
  </si>
  <si>
    <t>Genotyped / assessed for treatment</t>
  </si>
  <si>
    <t>Antibody+ diagnosed</t>
  </si>
  <si>
    <r>
      <t xml:space="preserve">Proportion of </t>
    </r>
    <r>
      <rPr>
        <b/>
        <sz val="14"/>
        <color theme="0"/>
        <rFont val="Calibri"/>
        <family val="2"/>
        <scheme val="minor"/>
      </rPr>
      <t xml:space="preserve">PWID </t>
    </r>
    <r>
      <rPr>
        <b/>
        <sz val="11"/>
        <color theme="0"/>
        <rFont val="Calibri"/>
        <family val="2"/>
        <scheme val="minor"/>
      </rPr>
      <t>with chronic HCV who are in care cascade stage</t>
    </r>
  </si>
  <si>
    <t>Number of people living with chronic HCV</t>
  </si>
  <si>
    <t>total_PWID</t>
  </si>
  <si>
    <t>exit_IDU</t>
  </si>
  <si>
    <t>r_relapse</t>
  </si>
  <si>
    <t>alpha_old</t>
  </si>
  <si>
    <t>alpha_DAA</t>
  </si>
  <si>
    <t>harm_reduction</t>
  </si>
  <si>
    <t>discount</t>
  </si>
  <si>
    <t>r_AF0</t>
  </si>
  <si>
    <t>52/12; %12 weeks</t>
  </si>
  <si>
    <t>r_F0F1</t>
  </si>
  <si>
    <t>-log(1-0.106);</t>
  </si>
  <si>
    <t>r_F0F1_PWID</t>
  </si>
  <si>
    <t>-log(1-0.116);</t>
  </si>
  <si>
    <t>r_F1F2</t>
  </si>
  <si>
    <t>-log(1-0.074);</t>
  </si>
  <si>
    <t>r_F1F2_PWID</t>
  </si>
  <si>
    <t>-log(1-0.085);</t>
  </si>
  <si>
    <t>r_F2F3</t>
  </si>
  <si>
    <t>r_F2F3_PWID</t>
  </si>
  <si>
    <t>r_F3F4</t>
  </si>
  <si>
    <t>-log(1-0.105);</t>
  </si>
  <si>
    <t>r_F3F4_PWID</t>
  </si>
  <si>
    <t>-log(1-0.13);</t>
  </si>
  <si>
    <t>r_F4DC</t>
  </si>
  <si>
    <t>-log(1-0.037);</t>
  </si>
  <si>
    <t>r_DCHCC</t>
  </si>
  <si>
    <t>-log(1-0.068);</t>
  </si>
  <si>
    <t>r_F4HCC</t>
  </si>
  <si>
    <t>-log(1-0.01);</t>
  </si>
  <si>
    <t>r_HCCLT</t>
  </si>
  <si>
    <t>-log(1-0.1);</t>
  </si>
  <si>
    <t>r_DCLT</t>
  </si>
  <si>
    <t>-log(1-0.033);</t>
  </si>
  <si>
    <t>r_DCdeath</t>
  </si>
  <si>
    <t>-log(1-0.138);</t>
  </si>
  <si>
    <t>r_HCCdeath</t>
  </si>
  <si>
    <t>-log(1-0.605);</t>
  </si>
  <si>
    <t>r_LTdeath1</t>
  </si>
  <si>
    <t>-log(1-0.169);</t>
  </si>
  <si>
    <t>r_LTdeath2</t>
  </si>
  <si>
    <t>-log(1-0.034);</t>
  </si>
  <si>
    <t>r_S4death</t>
  </si>
  <si>
    <t>r_LT1LT2</t>
  </si>
  <si>
    <t>1/(-1/log(1-(0.138+0.605)/2)-1/log(1-0.02));</t>
  </si>
  <si>
    <t>2% chance of HCC or DC following SVR at this stage</t>
  </si>
  <si>
    <t>Health state utilities</t>
  </si>
  <si>
    <t>Estimate</t>
  </si>
  <si>
    <t>Lower bound</t>
  </si>
  <si>
    <t>Upper bound</t>
  </si>
  <si>
    <t>Spontaneous viral clearance, never infected</t>
  </si>
  <si>
    <t>Sustained virological response</t>
  </si>
  <si>
    <t>Following early treatment (pre-F0)</t>
  </si>
  <si>
    <t>Following standard treatment (pre-F2)</t>
  </si>
  <si>
    <t>Following late treatment (pre-cirrhosis)</t>
  </si>
  <si>
    <t>Mild chronic HCV (F0/F1)</t>
  </si>
  <si>
    <t>Moderate chronic HCV (F2/F3)</t>
  </si>
  <si>
    <t>Compensated cirrhosis (F4)</t>
  </si>
  <si>
    <t>Decompensated cirrhosis/liver failure</t>
  </si>
  <si>
    <t>Hepatocellular carcinoma</t>
  </si>
  <si>
    <t>Liver transplantation year 1</t>
  </si>
  <si>
    <t>Liver transplantation year 2+</t>
  </si>
  <si>
    <t>Treatment</t>
  </si>
  <si>
    <t>Mild treatment</t>
  </si>
  <si>
    <t>Moderate treatment</t>
  </si>
  <si>
    <t>Compensated cirrhosis treatment</t>
  </si>
  <si>
    <t>c_A</t>
  </si>
  <si>
    <t>c_F012</t>
  </si>
  <si>
    <t>c_F3</t>
  </si>
  <si>
    <t>c_F4_0</t>
  </si>
  <si>
    <t>c_F4</t>
  </si>
  <si>
    <t>c_DC</t>
  </si>
  <si>
    <t>c_HCC_pa</t>
  </si>
  <si>
    <t>c_HCC_0</t>
  </si>
  <si>
    <t>c_LT</t>
  </si>
  <si>
    <t>c_PWID</t>
  </si>
  <si>
    <t>c_formerPWID</t>
  </si>
  <si>
    <t>c_svr0__a</t>
  </si>
  <si>
    <t>c_svr0__b</t>
  </si>
  <si>
    <t>c_svr_pa__a</t>
  </si>
  <si>
    <t>c_svr_pa__b</t>
  </si>
  <si>
    <t>c_svr_pa__c</t>
  </si>
  <si>
    <t>Additional costs of treating PWID</t>
  </si>
  <si>
    <t>amount spent to get a single HCV antibody detection</t>
  </si>
  <si>
    <t>amount spent per person with antibody detection to get RNA+ detection</t>
  </si>
  <si>
    <t>RNA+ detection to genotype. Second is case where no genotype required (only APRI and other tests)</t>
  </si>
  <si>
    <t>gentype to liver disease for nurse, GP and specialist care</t>
  </si>
  <si>
    <t>c_cascade3__a</t>
  </si>
  <si>
    <t>c_cascade1</t>
  </si>
  <si>
    <t>c_cascade2</t>
  </si>
  <si>
    <t>c_cascade_rapidRNA</t>
  </si>
  <si>
    <t>c_cascade5</t>
  </si>
  <si>
    <t>c_cascade3__b</t>
  </si>
  <si>
    <t>c_cascade4__a</t>
  </si>
  <si>
    <t>c_cascade4__b</t>
  </si>
  <si>
    <t>c_cascade4__c</t>
  </si>
  <si>
    <t>q_F012</t>
  </si>
  <si>
    <t>q_F3</t>
  </si>
  <si>
    <t>q_F4</t>
  </si>
  <si>
    <t>q_DC</t>
  </si>
  <si>
    <t>q_HCC</t>
  </si>
  <si>
    <t>q_LT1</t>
  </si>
  <si>
    <t>q_LT2</t>
  </si>
  <si>
    <t>q_treat__a</t>
  </si>
  <si>
    <t>q_treat__b</t>
  </si>
  <si>
    <t>q_treat__c</t>
  </si>
  <si>
    <t>q_S_PWID</t>
  </si>
  <si>
    <t>q_svr_PWID__a</t>
  </si>
  <si>
    <t>q_svr_PWID__b</t>
  </si>
  <si>
    <t>q_svr_PWID__c</t>
  </si>
  <si>
    <t>q_S</t>
  </si>
  <si>
    <t>Standard deviation</t>
  </si>
  <si>
    <t>q_A</t>
  </si>
  <si>
    <t>Cost p.a. following successful treatment at F0-F2, F3 and F4+ stages</t>
  </si>
  <si>
    <t>One off costs of achieving SVR from F0-2 or greater disease stages</t>
  </si>
  <si>
    <t>Cost p.a. of managing chronic infections in disease stages</t>
  </si>
  <si>
    <t>One off cost of transfer to F4</t>
  </si>
  <si>
    <t>One off cost of transfer to HCC</t>
  </si>
  <si>
    <t>i.e. a 10.6% probability of transfer from F0 to F1 per year</t>
  </si>
  <si>
    <t>Definition</t>
  </si>
  <si>
    <t>Number of diagnoses</t>
  </si>
  <si>
    <t>Number of new HCC</t>
  </si>
  <si>
    <t>NSP</t>
  </si>
  <si>
    <t>OST</t>
  </si>
  <si>
    <t>p_complete</t>
  </si>
  <si>
    <t>omega</t>
  </si>
  <si>
    <t>delta</t>
  </si>
  <si>
    <t>age_cohort</t>
  </si>
  <si>
    <t>age_mix</t>
  </si>
  <si>
    <t>target_inc</t>
  </si>
  <si>
    <t>target_death</t>
  </si>
  <si>
    <t>Tin</t>
  </si>
  <si>
    <t>start_year</t>
  </si>
  <si>
    <t>Run</t>
  </si>
  <si>
    <t>mu</t>
  </si>
  <si>
    <t>mu2024</t>
  </si>
  <si>
    <t>mu2529</t>
  </si>
  <si>
    <t>mu3034</t>
  </si>
  <si>
    <t>mu3544</t>
  </si>
  <si>
    <t>mu4554</t>
  </si>
  <si>
    <t>mu5564</t>
  </si>
  <si>
    <t>mu6574</t>
  </si>
  <si>
    <t>mu7584</t>
  </si>
  <si>
    <t>mu85</t>
  </si>
  <si>
    <t>mu2024_PWID</t>
  </si>
  <si>
    <t>mu2529_PWID</t>
  </si>
  <si>
    <t>mu3034_PWID</t>
  </si>
  <si>
    <t>Parameter</t>
  </si>
  <si>
    <t>Comment</t>
  </si>
  <si>
    <t>Value</t>
  </si>
  <si>
    <t>P</t>
  </si>
  <si>
    <t>infected0</t>
  </si>
  <si>
    <t>PWID0</t>
  </si>
  <si>
    <t>imported</t>
  </si>
  <si>
    <t>1/(18.36/52)</t>
  </si>
  <si>
    <t>Proportion of injections occurring in the same age bracket</t>
  </si>
  <si>
    <t>Average age of initiation of IDU</t>
  </si>
  <si>
    <t>Proportion who spontaneously clear</t>
  </si>
  <si>
    <t>Population to start the model</t>
  </si>
  <si>
    <t>Initial proportion of PWID infected (i.e. 1950)</t>
  </si>
  <si>
    <t>Proportion of initial model population who are PWID</t>
  </si>
  <si>
    <t>Total number of PWID at peak in year 2000</t>
  </si>
  <si>
    <t>Infection rate due to imported HCV cases from visiting PWID</t>
  </si>
  <si>
    <t>Cessation rate (1/average length of injectingcareer)</t>
  </si>
  <si>
    <t>Rate of relape into IDU</t>
  </si>
  <si>
    <t>SVR rate for interferon-based therapies</t>
  </si>
  <si>
    <t>SVR rate for DAA therapies, all genotypes</t>
  </si>
  <si>
    <t>Assumed scale-up of harm reduction</t>
  </si>
  <si>
    <t>Proportion of PWID who adhere to treatment</t>
  </si>
  <si>
    <t>Treatment completion rate, average of all genotypes (1/treatment length)</t>
  </si>
  <si>
    <t>Percentage reduction in incidence in WHO 2030 target</t>
  </si>
  <si>
    <t>Percentage reduction in mortality in WHO 2030 target</t>
  </si>
  <si>
    <t>Average mortality rate among PWID</t>
  </si>
  <si>
    <t>Mortality rate among 20-24 year olds (calculated from life tables)</t>
  </si>
  <si>
    <t>Average mortality rate among PWID 20-24 years</t>
  </si>
  <si>
    <t>Time to burn-in model (i.e. 1950 to 2016)</t>
  </si>
  <si>
    <t>Start year (if not 1950)</t>
  </si>
  <si>
    <t>Years to run model projections</t>
  </si>
  <si>
    <t>-LN(1-0.00044)</t>
  </si>
  <si>
    <t>-LN(1-0.00066)</t>
  </si>
  <si>
    <t>-LN(1-0.00099)</t>
  </si>
  <si>
    <t>-LN(1-0.00166)</t>
  </si>
  <si>
    <t>-LN(1-0.00516)</t>
  </si>
  <si>
    <t>-LN(1-0.01414)</t>
  </si>
  <si>
    <t>-LN(1-0.04758)</t>
  </si>
  <si>
    <t>-LN(1-0.16045)</t>
  </si>
  <si>
    <t>-LN(1-0.0096)</t>
  </si>
  <si>
    <t>-LN(1-0.0112)</t>
  </si>
  <si>
    <t>-LN(1-0.0018)</t>
  </si>
  <si>
    <t>mu3544_PWID</t>
  </si>
  <si>
    <t>Comments</t>
  </si>
  <si>
    <t>q_svr__a</t>
  </si>
  <si>
    <t>q_svr__b</t>
  </si>
  <si>
    <t>q_svr__c</t>
  </si>
  <si>
    <t>c_daa__a</t>
  </si>
  <si>
    <t>c_daa__b</t>
  </si>
  <si>
    <t>num_pops</t>
  </si>
  <si>
    <t>num_cascade</t>
  </si>
  <si>
    <t>num_age</t>
  </si>
  <si>
    <t>num_intervention</t>
  </si>
  <si>
    <t>num_engagement</t>
  </si>
  <si>
    <t>num_region</t>
  </si>
  <si>
    <t>progression_PWID01</t>
  </si>
  <si>
    <t>progression_PWID12</t>
  </si>
  <si>
    <t>progression_PWID23</t>
  </si>
  <si>
    <t>progression_PWID34</t>
  </si>
  <si>
    <t>progression_PWID45</t>
  </si>
  <si>
    <t>progression_PWID56</t>
  </si>
  <si>
    <t>progression_former01</t>
  </si>
  <si>
    <t>progression_former12</t>
  </si>
  <si>
    <t>progression_former23</t>
  </si>
  <si>
    <t>progression_former34</t>
  </si>
  <si>
    <t>progression_former45</t>
  </si>
  <si>
    <t>progression_former56</t>
  </si>
  <si>
    <t>progression_other01</t>
  </si>
  <si>
    <t>progression_other12</t>
  </si>
  <si>
    <t>progression_other23</t>
  </si>
  <si>
    <t>progression_other34</t>
  </si>
  <si>
    <t>progression_other45</t>
  </si>
  <si>
    <t>progression_other56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</si>
  <si>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</si>
  <si>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</si>
  <si>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</si>
  <si>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</si>
  <si>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</si>
  <si>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</si>
  <si>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</si>
  <si>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</si>
  <si>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</si>
  <si>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imported infections 1950-1975</t>
  </si>
  <si>
    <t>imported infections 1975-1980</t>
  </si>
  <si>
    <t>imported infections 1980-1985</t>
  </si>
  <si>
    <t>infect</t>
  </si>
  <si>
    <t>care__a</t>
  </si>
  <si>
    <t>care__b</t>
  </si>
  <si>
    <t>Proportion of specialist liver assessment at start of period</t>
  </si>
  <si>
    <t>Proportion of specialist liver assessment at end of scale-up period</t>
  </si>
  <si>
    <t>cascade_scale_time</t>
  </si>
  <si>
    <t>Time to scale-up changes to the cascade of care</t>
  </si>
  <si>
    <t>ost_duration</t>
  </si>
  <si>
    <t>ost_enrollment</t>
  </si>
  <si>
    <t>nsp_duration</t>
  </si>
  <si>
    <t>nsp_enrollment</t>
  </si>
  <si>
    <t>-LN(1-0.02), i.e. annual probability of 2%</t>
  </si>
  <si>
    <t>rel_incidence_NSP</t>
  </si>
  <si>
    <t>rel_incidence_OST</t>
  </si>
  <si>
    <t>rel_incidence_NSPOST</t>
  </si>
  <si>
    <t>r_inc_up</t>
  </si>
  <si>
    <t>Population</t>
  </si>
  <si>
    <t>1/6, i.e. 6 years</t>
  </si>
  <si>
    <t>c_cascade2_serum</t>
  </si>
  <si>
    <t>c_cascade2_DBS</t>
  </si>
  <si>
    <t>diagnosed_risk_reduction</t>
  </si>
  <si>
    <t>c_NSP</t>
  </si>
  <si>
    <t>c_OST</t>
  </si>
  <si>
    <t>133 eurospeper year</t>
  </si>
  <si>
    <t>c_cascade2_ab</t>
  </si>
  <si>
    <t>c_cascade2_RNA</t>
  </si>
  <si>
    <t>DALYs from a death</t>
  </si>
  <si>
    <t>DALY_death</t>
  </si>
  <si>
    <t>DALY_DC</t>
  </si>
  <si>
    <t>DALY_HCC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</si>
</sst>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49" fontId="0" fillId="0" borderId="0" xfId="0" applyNumberFormat="1"/>
    <xf numFmtId="0" fontId="0" fillId="0" borderId="0" xfId="0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"/>
  <sheetViews>
    <sheetView workbookViewId="0">
      <selection activeCell="C34" sqref="C3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0" tint="-0.249977111117893"/>
  </sheetPr>
  <dimension ref="A1:D45"/>
  <sheetViews>
    <sheetView workbookViewId="0">
      <selection activeCell="C20" sqref="C20"/>
    </sheetView>
  </sheetViews>
  <sheetFormatPr defaultRowHeight="14.4" x14ac:dyDescent="0.3"/>
  <cols>
    <col min="1" max="1" width="19.21875" customWidth="1"/>
    <col min="3" max="3" width="63.44140625" customWidth="1"/>
    <col min="4" max="4" width="30.21875" customWidth="1"/>
  </cols>
  <sheetData>
    <row r="1" spans="1:4" x14ac:dyDescent="0.3">
      <c r="A1" s="10" t="s">
        <v>161</v>
      </c>
      <c r="B1" s="4" t="s">
        <v>163</v>
      </c>
      <c r="C1" s="10" t="s">
        <v>133</v>
      </c>
      <c r="D1" s="4" t="s">
        <v>162</v>
      </c>
    </row>
    <row r="2" spans="1:4" x14ac:dyDescent="0.3">
      <c r="A2" t="s">
        <v>145</v>
      </c>
      <c r="B2">
        <v>67</v>
      </c>
      <c r="C2" t="s">
        <v>189</v>
      </c>
    </row>
    <row r="3" spans="1:4" x14ac:dyDescent="0.3">
      <c r="A3" t="s">
        <v>146</v>
      </c>
      <c r="B3">
        <v>1</v>
      </c>
      <c r="C3" t="s">
        <v>190</v>
      </c>
      <c r="D3" s="12"/>
    </row>
    <row r="4" spans="1:4" x14ac:dyDescent="0.3">
      <c r="A4" t="s">
        <v>147</v>
      </c>
      <c r="B4">
        <v>15</v>
      </c>
      <c r="C4" t="s">
        <v>191</v>
      </c>
    </row>
    <row r="5" spans="1:4" s="18" customFormat="1" x14ac:dyDescent="0.3">
      <c r="A5" s="18" t="s">
        <v>148</v>
      </c>
      <c r="B5" s="18">
        <v>8.3000000000000001E-3</v>
      </c>
      <c r="C5" s="18" t="s">
        <v>186</v>
      </c>
    </row>
    <row r="6" spans="1:4" x14ac:dyDescent="0.3">
      <c r="A6" t="s">
        <v>149</v>
      </c>
      <c r="B6">
        <f>-LN(1-0.0035)</f>
        <v>3.5061393292875899E-3</v>
      </c>
      <c r="C6" t="s">
        <v>187</v>
      </c>
      <c r="D6" s="12" t="s">
        <v>192</v>
      </c>
    </row>
    <row r="7" spans="1:4" x14ac:dyDescent="0.3">
      <c r="A7" t="s">
        <v>150</v>
      </c>
      <c r="B7">
        <f>-LN(1-0.0045)</f>
        <v>4.510155477886019E-3</v>
      </c>
      <c r="D7" s="12" t="s">
        <v>193</v>
      </c>
    </row>
    <row r="8" spans="1:4" x14ac:dyDescent="0.3">
      <c r="A8" t="s">
        <v>151</v>
      </c>
      <c r="B8">
        <f>-LN(1-0.0055)</f>
        <v>5.5151806881101112E-3</v>
      </c>
      <c r="D8" s="12" t="s">
        <v>193</v>
      </c>
    </row>
    <row r="9" spans="1:4" x14ac:dyDescent="0.3">
      <c r="A9" t="s">
        <v>152</v>
      </c>
      <c r="B9">
        <f>-LN(1-0.00725)</f>
        <v>7.276408970776185E-3</v>
      </c>
      <c r="D9" s="12" t="s">
        <v>194</v>
      </c>
    </row>
    <row r="10" spans="1:4" x14ac:dyDescent="0.3">
      <c r="A10" t="s">
        <v>153</v>
      </c>
      <c r="B10">
        <f>-LN(1-0.01075)</f>
        <v>1.0808198716603419E-2</v>
      </c>
      <c r="D10" s="12" t="s">
        <v>195</v>
      </c>
    </row>
    <row r="11" spans="1:4" x14ac:dyDescent="0.3">
      <c r="A11" t="s">
        <v>154</v>
      </c>
      <c r="B11">
        <f>-LN(1-0.01775)</f>
        <v>1.790942054356795E-2</v>
      </c>
      <c r="D11" s="12" t="s">
        <v>196</v>
      </c>
    </row>
    <row r="12" spans="1:4" x14ac:dyDescent="0.3">
      <c r="A12" t="s">
        <v>155</v>
      </c>
      <c r="B12">
        <f>-LN(1-0.0415)</f>
        <v>4.2385716496437846E-2</v>
      </c>
      <c r="D12" s="12" t="s">
        <v>197</v>
      </c>
    </row>
    <row r="13" spans="1:4" x14ac:dyDescent="0.3">
      <c r="A13" t="s">
        <v>156</v>
      </c>
      <c r="B13">
        <f>-LN(1-0.10575)</f>
        <v>0.11176990084300994</v>
      </c>
      <c r="D13" s="12" t="s">
        <v>198</v>
      </c>
    </row>
    <row r="14" spans="1:4" x14ac:dyDescent="0.3">
      <c r="A14" t="s">
        <v>157</v>
      </c>
      <c r="B14">
        <f>-LN(1-0.25)</f>
        <v>0.2876820724517809</v>
      </c>
      <c r="D14" s="12" t="s">
        <v>199</v>
      </c>
    </row>
    <row r="15" spans="1:4" x14ac:dyDescent="0.3">
      <c r="A15" t="s">
        <v>158</v>
      </c>
      <c r="B15">
        <f>-LN(1-0.0096-0.0035)</f>
        <v>1.3186561804175559E-2</v>
      </c>
      <c r="C15" t="s">
        <v>188</v>
      </c>
      <c r="D15" s="12" t="s">
        <v>200</v>
      </c>
    </row>
    <row r="16" spans="1:4" x14ac:dyDescent="0.3">
      <c r="A16" t="s">
        <v>159</v>
      </c>
      <c r="B16">
        <f>-LN(1-0.0096-0.0045)</f>
        <v>1.4200349401141401E-2</v>
      </c>
      <c r="D16" s="12" t="s">
        <v>200</v>
      </c>
    </row>
    <row r="17" spans="1:4" x14ac:dyDescent="0.3">
      <c r="A17" t="s">
        <v>160</v>
      </c>
      <c r="B17">
        <f>-LN(1-0.0112-0.0055)</f>
        <v>1.6841017196026445E-2</v>
      </c>
      <c r="D17" s="12" t="s">
        <v>201</v>
      </c>
    </row>
    <row r="18" spans="1:4" x14ac:dyDescent="0.3">
      <c r="A18" t="s">
        <v>203</v>
      </c>
      <c r="B18">
        <f>-LN(1-0.0018-0.00725)</f>
        <v>9.0912000117803447E-3</v>
      </c>
      <c r="D18" s="12" t="s">
        <v>202</v>
      </c>
    </row>
    <row r="19" spans="1:4" s="18" customFormat="1" x14ac:dyDescent="0.3">
      <c r="A19" s="18" t="s">
        <v>164</v>
      </c>
      <c r="B19" s="18">
        <v>50000</v>
      </c>
      <c r="C19" s="18" t="s">
        <v>172</v>
      </c>
    </row>
    <row r="20" spans="1:4" x14ac:dyDescent="0.3">
      <c r="A20" t="s">
        <v>165</v>
      </c>
      <c r="B20">
        <v>0.1</v>
      </c>
      <c r="C20" t="s">
        <v>173</v>
      </c>
    </row>
    <row r="21" spans="1:4" x14ac:dyDescent="0.3">
      <c r="A21" t="s">
        <v>166</v>
      </c>
      <c r="B21">
        <v>40000</v>
      </c>
      <c r="C21" t="s">
        <v>174</v>
      </c>
    </row>
    <row r="22" spans="1:4" x14ac:dyDescent="0.3">
      <c r="A22" t="s">
        <v>15</v>
      </c>
      <c r="B22">
        <v>50000</v>
      </c>
      <c r="C22" t="s">
        <v>175</v>
      </c>
    </row>
    <row r="23" spans="1:4" x14ac:dyDescent="0.3">
      <c r="A23" t="s">
        <v>167</v>
      </c>
      <c r="B23">
        <v>0</v>
      </c>
      <c r="C23" t="s">
        <v>176</v>
      </c>
    </row>
    <row r="24" spans="1:4" x14ac:dyDescent="0.3">
      <c r="A24" t="s">
        <v>16</v>
      </c>
      <c r="B24" s="17">
        <f>1/22</f>
        <v>4.5454545454545456E-2</v>
      </c>
      <c r="C24" t="s">
        <v>177</v>
      </c>
      <c r="D24" s="19" t="s">
        <v>263</v>
      </c>
    </row>
    <row r="25" spans="1:4" x14ac:dyDescent="0.3">
      <c r="A25" t="s">
        <v>17</v>
      </c>
      <c r="B25">
        <f>-LN(1-0.027)</f>
        <v>2.7371196796132015E-2</v>
      </c>
      <c r="C25" t="s">
        <v>178</v>
      </c>
      <c r="D25" s="12" t="s">
        <v>257</v>
      </c>
    </row>
    <row r="26" spans="1:4" x14ac:dyDescent="0.3">
      <c r="A26" t="s">
        <v>18</v>
      </c>
      <c r="B26">
        <v>0.6</v>
      </c>
      <c r="C26" t="s">
        <v>179</v>
      </c>
    </row>
    <row r="27" spans="1:4" x14ac:dyDescent="0.3">
      <c r="A27" t="s">
        <v>19</v>
      </c>
      <c r="B27">
        <v>0.9</v>
      </c>
      <c r="C27" t="s">
        <v>180</v>
      </c>
    </row>
    <row r="28" spans="1:4" x14ac:dyDescent="0.3">
      <c r="A28" t="s">
        <v>20</v>
      </c>
      <c r="B28">
        <v>0</v>
      </c>
      <c r="C28" t="s">
        <v>181</v>
      </c>
    </row>
    <row r="29" spans="1:4" x14ac:dyDescent="0.3">
      <c r="A29" t="s">
        <v>138</v>
      </c>
      <c r="B29">
        <v>0.9</v>
      </c>
      <c r="C29" t="s">
        <v>182</v>
      </c>
    </row>
    <row r="30" spans="1:4" x14ac:dyDescent="0.3">
      <c r="A30" t="s">
        <v>139</v>
      </c>
      <c r="B30">
        <f>1/(18.36/52)</f>
        <v>2.8322440087145972</v>
      </c>
      <c r="C30" t="s">
        <v>183</v>
      </c>
      <c r="D30" t="s">
        <v>168</v>
      </c>
    </row>
    <row r="31" spans="1:4" x14ac:dyDescent="0.3">
      <c r="A31" t="s">
        <v>140</v>
      </c>
      <c r="B31">
        <v>0.26</v>
      </c>
      <c r="C31" t="s">
        <v>171</v>
      </c>
    </row>
    <row r="32" spans="1:4" x14ac:dyDescent="0.3">
      <c r="A32" t="s">
        <v>141</v>
      </c>
      <c r="B32">
        <v>23.5</v>
      </c>
      <c r="C32" t="s">
        <v>170</v>
      </c>
    </row>
    <row r="33" spans="1:4" x14ac:dyDescent="0.3">
      <c r="A33" t="s">
        <v>142</v>
      </c>
      <c r="B33">
        <f>0.59/(0.5 * 9)</f>
        <v>0.13111111111111109</v>
      </c>
      <c r="C33" t="s">
        <v>169</v>
      </c>
    </row>
    <row r="34" spans="1:4" x14ac:dyDescent="0.3">
      <c r="A34" t="s">
        <v>143</v>
      </c>
      <c r="B34">
        <v>0.8</v>
      </c>
      <c r="C34" t="s">
        <v>184</v>
      </c>
    </row>
    <row r="35" spans="1:4" x14ac:dyDescent="0.3">
      <c r="A35" t="s">
        <v>144</v>
      </c>
      <c r="B35">
        <v>0.65</v>
      </c>
      <c r="C35" t="s">
        <v>185</v>
      </c>
    </row>
    <row r="36" spans="1:4" x14ac:dyDescent="0.3">
      <c r="A36" t="s">
        <v>247</v>
      </c>
      <c r="B36">
        <v>0.3</v>
      </c>
      <c r="C36" t="s">
        <v>249</v>
      </c>
    </row>
    <row r="37" spans="1:4" x14ac:dyDescent="0.3">
      <c r="A37" t="s">
        <v>248</v>
      </c>
      <c r="B37">
        <v>0.3</v>
      </c>
      <c r="C37" t="s">
        <v>250</v>
      </c>
    </row>
    <row r="38" spans="1:4" x14ac:dyDescent="0.3">
      <c r="A38" t="s">
        <v>251</v>
      </c>
      <c r="B38">
        <v>3</v>
      </c>
      <c r="C38" t="s">
        <v>252</v>
      </c>
    </row>
    <row r="39" spans="1:4" x14ac:dyDescent="0.3">
      <c r="A39" t="s">
        <v>253</v>
      </c>
      <c r="B39" s="32">
        <v>100</v>
      </c>
      <c r="D39">
        <f>6.5/12</f>
        <v>0.54166666666666663</v>
      </c>
    </row>
    <row r="40" spans="1:4" x14ac:dyDescent="0.3">
      <c r="A40" t="s">
        <v>255</v>
      </c>
      <c r="B40">
        <v>100</v>
      </c>
      <c r="D40">
        <f>1/0.29</f>
        <v>3.4482758620689657</v>
      </c>
    </row>
    <row r="41" spans="1:4" x14ac:dyDescent="0.3">
      <c r="A41" t="s">
        <v>258</v>
      </c>
      <c r="B41">
        <v>0.48</v>
      </c>
    </row>
    <row r="42" spans="1:4" x14ac:dyDescent="0.3">
      <c r="A42" t="s">
        <v>259</v>
      </c>
      <c r="B42">
        <v>0.41</v>
      </c>
    </row>
    <row r="43" spans="1:4" x14ac:dyDescent="0.3">
      <c r="A43" t="s">
        <v>260</v>
      </c>
      <c r="B43">
        <f>B41</f>
        <v>0.48</v>
      </c>
    </row>
    <row r="44" spans="1:4" x14ac:dyDescent="0.3">
      <c r="A44" t="s">
        <v>261</v>
      </c>
      <c r="B44">
        <v>2.5</v>
      </c>
    </row>
    <row r="45" spans="1:4" x14ac:dyDescent="0.3">
      <c r="A45" t="s">
        <v>266</v>
      </c>
      <c r="B45">
        <v>1</v>
      </c>
    </row>
  </sheetData>
  <pageMargins left="0.7" right="0.7" top="0.75" bottom="0.75" header="0.3" footer="0.3"/>
  <pageSetup paperSize="19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249977111117893"/>
  </sheetPr>
  <dimension ref="A1:E35"/>
  <sheetViews>
    <sheetView tabSelected="1" workbookViewId="0">
      <selection activeCell="B5" sqref="B5"/>
    </sheetView>
  </sheetViews>
  <sheetFormatPr defaultRowHeight="14.4" x14ac:dyDescent="0.3"/>
  <cols>
    <col min="1" max="1" width="25.44140625" customWidth="1"/>
    <col min="4" max="4" width="14.77734375" customWidth="1"/>
  </cols>
  <sheetData>
    <row r="1" spans="1:5" x14ac:dyDescent="0.3">
      <c r="A1" s="4" t="s">
        <v>161</v>
      </c>
      <c r="B1" s="4" t="s">
        <v>163</v>
      </c>
      <c r="C1" s="4"/>
      <c r="D1" s="4" t="s">
        <v>133</v>
      </c>
      <c r="E1" s="4"/>
    </row>
    <row r="2" spans="1:5" s="13" customFormat="1" x14ac:dyDescent="0.3">
      <c r="A2" s="13" t="s">
        <v>21</v>
      </c>
      <c r="B2" s="13">
        <v>0.03</v>
      </c>
    </row>
    <row r="3" spans="1:5" x14ac:dyDescent="0.3">
      <c r="A3" t="s">
        <v>91</v>
      </c>
      <c r="B3">
        <v>0</v>
      </c>
      <c r="D3" t="s">
        <v>128</v>
      </c>
    </row>
    <row r="4" spans="1:5" x14ac:dyDescent="0.3">
      <c r="A4" t="s">
        <v>92</v>
      </c>
      <c r="B4">
        <v>0</v>
      </c>
    </row>
    <row r="5" spans="1:5" x14ac:dyDescent="0.3">
      <c r="A5" t="s">
        <v>93</v>
      </c>
      <c r="B5">
        <v>0</v>
      </c>
      <c r="D5" t="s">
        <v>127</v>
      </c>
    </row>
    <row r="6" spans="1:5" x14ac:dyDescent="0.3">
      <c r="A6" t="s">
        <v>94</v>
      </c>
      <c r="B6">
        <v>0</v>
      </c>
    </row>
    <row r="7" spans="1:5" x14ac:dyDescent="0.3">
      <c r="A7" t="s">
        <v>95</v>
      </c>
      <c r="B7">
        <v>0</v>
      </c>
    </row>
    <row r="8" spans="1:5" x14ac:dyDescent="0.3">
      <c r="A8" t="s">
        <v>80</v>
      </c>
      <c r="B8">
        <v>0</v>
      </c>
    </row>
    <row r="9" spans="1:5" x14ac:dyDescent="0.3">
      <c r="A9" t="s">
        <v>81</v>
      </c>
      <c r="B9">
        <v>38</v>
      </c>
      <c r="D9" t="s">
        <v>129</v>
      </c>
    </row>
    <row r="10" spans="1:5" x14ac:dyDescent="0.3">
      <c r="A10" t="s">
        <v>82</v>
      </c>
      <c r="B10">
        <v>77</v>
      </c>
    </row>
    <row r="11" spans="1:5" x14ac:dyDescent="0.3">
      <c r="A11" t="s">
        <v>83</v>
      </c>
      <c r="B11">
        <v>0</v>
      </c>
      <c r="D11" t="s">
        <v>130</v>
      </c>
    </row>
    <row r="12" spans="1:5" x14ac:dyDescent="0.3">
      <c r="A12" t="s">
        <v>84</v>
      </c>
      <c r="B12">
        <v>90</v>
      </c>
    </row>
    <row r="13" spans="1:5" x14ac:dyDescent="0.3">
      <c r="A13" t="s">
        <v>85</v>
      </c>
      <c r="B13">
        <v>1002</v>
      </c>
    </row>
    <row r="14" spans="1:5" x14ac:dyDescent="0.3">
      <c r="A14" t="s">
        <v>86</v>
      </c>
      <c r="B14">
        <v>1842</v>
      </c>
    </row>
    <row r="15" spans="1:5" x14ac:dyDescent="0.3">
      <c r="A15" t="s">
        <v>87</v>
      </c>
      <c r="B15">
        <v>0</v>
      </c>
      <c r="D15" t="s">
        <v>131</v>
      </c>
    </row>
    <row r="16" spans="1:5" s="13" customFormat="1" x14ac:dyDescent="0.3">
      <c r="A16" s="13" t="s">
        <v>88</v>
      </c>
      <c r="B16" s="13">
        <v>0</v>
      </c>
    </row>
    <row r="17" spans="1:4" x14ac:dyDescent="0.3">
      <c r="A17" t="s">
        <v>89</v>
      </c>
      <c r="B17">
        <v>0</v>
      </c>
      <c r="D17" t="s">
        <v>96</v>
      </c>
    </row>
    <row r="18" spans="1:4" s="13" customFormat="1" x14ac:dyDescent="0.3">
      <c r="A18" s="13" t="s">
        <v>90</v>
      </c>
      <c r="B18" s="13">
        <v>0</v>
      </c>
    </row>
    <row r="19" spans="1:4" x14ac:dyDescent="0.3">
      <c r="A19" t="s">
        <v>102</v>
      </c>
      <c r="B19">
        <v>0</v>
      </c>
      <c r="D19" t="s">
        <v>97</v>
      </c>
    </row>
    <row r="20" spans="1:4" x14ac:dyDescent="0.3">
      <c r="A20" t="s">
        <v>103</v>
      </c>
      <c r="B20">
        <v>0</v>
      </c>
      <c r="D20" t="s">
        <v>98</v>
      </c>
    </row>
    <row r="21" spans="1:4" x14ac:dyDescent="0.3">
      <c r="A21" t="s">
        <v>104</v>
      </c>
      <c r="B21">
        <v>0</v>
      </c>
      <c r="D21" t="s">
        <v>97</v>
      </c>
    </row>
    <row r="22" spans="1:4" x14ac:dyDescent="0.3">
      <c r="A22" t="s">
        <v>101</v>
      </c>
      <c r="B22">
        <v>0</v>
      </c>
      <c r="D22" t="s">
        <v>99</v>
      </c>
    </row>
    <row r="23" spans="1:4" x14ac:dyDescent="0.3">
      <c r="A23" t="s">
        <v>106</v>
      </c>
      <c r="B23">
        <v>0</v>
      </c>
    </row>
    <row r="24" spans="1:4" x14ac:dyDescent="0.3">
      <c r="A24" t="s">
        <v>107</v>
      </c>
      <c r="B24">
        <v>0</v>
      </c>
      <c r="D24" t="s">
        <v>100</v>
      </c>
    </row>
    <row r="25" spans="1:4" x14ac:dyDescent="0.3">
      <c r="A25" t="s">
        <v>108</v>
      </c>
      <c r="B25">
        <v>0</v>
      </c>
    </row>
    <row r="26" spans="1:4" x14ac:dyDescent="0.3">
      <c r="A26" t="s">
        <v>109</v>
      </c>
      <c r="B26">
        <v>0</v>
      </c>
    </row>
    <row r="27" spans="1:4" x14ac:dyDescent="0.3">
      <c r="A27" t="s">
        <v>105</v>
      </c>
      <c r="B27">
        <v>0</v>
      </c>
    </row>
    <row r="28" spans="1:4" x14ac:dyDescent="0.3">
      <c r="A28" t="s">
        <v>208</v>
      </c>
      <c r="B28">
        <v>250</v>
      </c>
    </row>
    <row r="29" spans="1:4" x14ac:dyDescent="0.3">
      <c r="A29" t="s">
        <v>209</v>
      </c>
      <c r="B29">
        <v>250</v>
      </c>
    </row>
    <row r="30" spans="1:4" x14ac:dyDescent="0.3">
      <c r="A30" t="s">
        <v>270</v>
      </c>
      <c r="B30">
        <f>1.1+100</f>
        <v>101.1</v>
      </c>
    </row>
    <row r="31" spans="1:4" x14ac:dyDescent="0.3">
      <c r="A31" t="s">
        <v>271</v>
      </c>
      <c r="B31">
        <f>70+100</f>
        <v>170</v>
      </c>
    </row>
    <row r="32" spans="1:4" x14ac:dyDescent="0.3">
      <c r="A32" t="s">
        <v>264</v>
      </c>
      <c r="B32">
        <v>115</v>
      </c>
    </row>
    <row r="33" spans="1:4" s="13" customFormat="1" x14ac:dyDescent="0.3">
      <c r="A33" s="13" t="s">
        <v>265</v>
      </c>
      <c r="B33" s="13">
        <v>120</v>
      </c>
    </row>
    <row r="34" spans="1:4" x14ac:dyDescent="0.3">
      <c r="A34" s="20" t="s">
        <v>267</v>
      </c>
      <c r="B34" s="20">
        <v>150</v>
      </c>
      <c r="D34" t="s">
        <v>269</v>
      </c>
    </row>
    <row r="35" spans="1:4" x14ac:dyDescent="0.3">
      <c r="A35" s="20" t="s">
        <v>268</v>
      </c>
      <c r="B35">
        <v>972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H23"/>
  <sheetViews>
    <sheetView workbookViewId="0">
      <selection activeCell="B24" sqref="B24"/>
    </sheetView>
  </sheetViews>
  <sheetFormatPr defaultRowHeight="14.4" x14ac:dyDescent="0.3"/>
  <cols>
    <col min="1" max="1" width="16.21875" style="16" customWidth="1"/>
  </cols>
  <sheetData>
    <row r="1" spans="1:8" s="2" customFormat="1" ht="28.8" x14ac:dyDescent="0.3">
      <c r="A1" s="14" t="s">
        <v>60</v>
      </c>
      <c r="B1" s="4" t="s">
        <v>61</v>
      </c>
      <c r="C1" s="4" t="s">
        <v>62</v>
      </c>
      <c r="D1" s="4" t="s">
        <v>63</v>
      </c>
      <c r="E1" s="4" t="s">
        <v>125</v>
      </c>
    </row>
    <row r="2" spans="1:8" x14ac:dyDescent="0.3">
      <c r="A2" s="15" t="s">
        <v>120</v>
      </c>
      <c r="B2" s="11">
        <v>0.92</v>
      </c>
      <c r="C2" s="11">
        <v>0.92800000000000005</v>
      </c>
      <c r="D2" s="11">
        <v>0.93200000000000005</v>
      </c>
      <c r="E2" s="11">
        <v>1E-3</v>
      </c>
      <c r="G2" t="s">
        <v>64</v>
      </c>
    </row>
    <row r="3" spans="1:8" x14ac:dyDescent="0.3">
      <c r="A3" s="15" t="s">
        <v>124</v>
      </c>
      <c r="B3" s="11">
        <v>1</v>
      </c>
      <c r="C3" s="11"/>
      <c r="D3" s="11"/>
      <c r="E3" s="11"/>
    </row>
    <row r="4" spans="1:8" x14ac:dyDescent="0.3">
      <c r="A4" s="15" t="s">
        <v>121</v>
      </c>
      <c r="B4" s="11">
        <v>0.93</v>
      </c>
      <c r="C4" s="11">
        <v>0.73</v>
      </c>
      <c r="D4" s="11">
        <v>0.9</v>
      </c>
      <c r="E4" s="11"/>
      <c r="G4" t="s">
        <v>65</v>
      </c>
      <c r="H4" t="s">
        <v>66</v>
      </c>
    </row>
    <row r="5" spans="1:8" x14ac:dyDescent="0.3">
      <c r="A5" s="15" t="s">
        <v>122</v>
      </c>
      <c r="B5" s="11">
        <v>0.93</v>
      </c>
      <c r="C5" s="11">
        <v>0.62</v>
      </c>
      <c r="D5" s="11">
        <v>0.81</v>
      </c>
      <c r="E5" s="11"/>
      <c r="H5" t="s">
        <v>67</v>
      </c>
    </row>
    <row r="6" spans="1:8" x14ac:dyDescent="0.3">
      <c r="A6" s="15" t="s">
        <v>123</v>
      </c>
      <c r="B6" s="11">
        <v>0.66</v>
      </c>
      <c r="C6" s="11">
        <v>0.55000000000000004</v>
      </c>
      <c r="D6" s="11">
        <v>0.66</v>
      </c>
      <c r="E6" s="11"/>
      <c r="H6" t="s">
        <v>68</v>
      </c>
    </row>
    <row r="7" spans="1:8" x14ac:dyDescent="0.3">
      <c r="A7" s="15" t="s">
        <v>205</v>
      </c>
      <c r="B7" s="11">
        <v>1</v>
      </c>
      <c r="C7" s="11"/>
      <c r="D7" s="11"/>
      <c r="E7" s="11"/>
      <c r="G7" t="s">
        <v>65</v>
      </c>
      <c r="H7" t="s">
        <v>66</v>
      </c>
    </row>
    <row r="8" spans="1:8" x14ac:dyDescent="0.3">
      <c r="A8" s="15" t="s">
        <v>206</v>
      </c>
      <c r="B8" s="11">
        <v>1</v>
      </c>
      <c r="C8" s="11"/>
      <c r="D8" s="11"/>
      <c r="E8" s="11"/>
      <c r="H8" t="s">
        <v>67</v>
      </c>
    </row>
    <row r="9" spans="1:8" x14ac:dyDescent="0.3">
      <c r="A9" s="15" t="s">
        <v>207</v>
      </c>
      <c r="B9" s="11">
        <v>0.66</v>
      </c>
      <c r="C9" s="11"/>
      <c r="D9" s="11"/>
      <c r="E9" s="11"/>
      <c r="H9" t="s">
        <v>68</v>
      </c>
    </row>
    <row r="10" spans="1:8" x14ac:dyDescent="0.3">
      <c r="A10" s="15" t="s">
        <v>126</v>
      </c>
      <c r="B10" s="11">
        <v>0.77</v>
      </c>
      <c r="C10" s="11">
        <v>0.74</v>
      </c>
      <c r="D10" s="11">
        <v>0.8</v>
      </c>
      <c r="E10" s="11">
        <v>1.4E-2</v>
      </c>
    </row>
    <row r="11" spans="1:8" x14ac:dyDescent="0.3">
      <c r="A11" s="15" t="s">
        <v>110</v>
      </c>
      <c r="B11" s="11">
        <v>0.77</v>
      </c>
      <c r="C11" s="11">
        <v>0.74</v>
      </c>
      <c r="D11" s="11">
        <v>0.8</v>
      </c>
      <c r="E11" s="11">
        <v>1.2E-2</v>
      </c>
      <c r="G11" t="s">
        <v>69</v>
      </c>
    </row>
    <row r="12" spans="1:8" x14ac:dyDescent="0.3">
      <c r="A12" s="15" t="s">
        <v>111</v>
      </c>
      <c r="B12" s="11">
        <v>0.66</v>
      </c>
      <c r="C12" s="11">
        <v>0.6</v>
      </c>
      <c r="D12" s="11">
        <v>0.72</v>
      </c>
      <c r="E12" s="11">
        <v>1.4999999999999999E-2</v>
      </c>
      <c r="G12" t="s">
        <v>70</v>
      </c>
    </row>
    <row r="13" spans="1:8" x14ac:dyDescent="0.3">
      <c r="A13" s="15" t="s">
        <v>112</v>
      </c>
      <c r="B13" s="11">
        <v>0.55000000000000004</v>
      </c>
      <c r="C13" s="11">
        <v>0.44</v>
      </c>
      <c r="D13" s="11">
        <v>0.51</v>
      </c>
      <c r="E13" s="11">
        <v>2.4E-2</v>
      </c>
      <c r="G13" t="s">
        <v>71</v>
      </c>
    </row>
    <row r="14" spans="1:8" x14ac:dyDescent="0.3">
      <c r="A14" s="15" t="s">
        <v>113</v>
      </c>
      <c r="B14" s="11">
        <v>0.45</v>
      </c>
      <c r="C14" s="11">
        <v>0.39</v>
      </c>
      <c r="D14" s="11">
        <v>0.51</v>
      </c>
      <c r="E14" s="11">
        <v>1.4E-2</v>
      </c>
      <c r="G14" t="s">
        <v>72</v>
      </c>
    </row>
    <row r="15" spans="1:8" x14ac:dyDescent="0.3">
      <c r="A15" s="15" t="s">
        <v>114</v>
      </c>
      <c r="B15" s="11">
        <v>0.45</v>
      </c>
      <c r="C15" s="11">
        <v>0.39</v>
      </c>
      <c r="D15" s="11">
        <v>0.51</v>
      </c>
      <c r="E15" s="11">
        <v>1.4E-2</v>
      </c>
      <c r="G15" t="s">
        <v>73</v>
      </c>
    </row>
    <row r="16" spans="1:8" x14ac:dyDescent="0.3">
      <c r="A16" s="15" t="s">
        <v>115</v>
      </c>
      <c r="B16" s="11">
        <v>0.45</v>
      </c>
      <c r="C16" s="11">
        <v>0.39</v>
      </c>
      <c r="D16" s="11">
        <v>0.51</v>
      </c>
      <c r="E16" s="11">
        <v>1.4E-2</v>
      </c>
      <c r="G16" t="s">
        <v>74</v>
      </c>
    </row>
    <row r="17" spans="1:8" x14ac:dyDescent="0.3">
      <c r="A17" s="15" t="s">
        <v>116</v>
      </c>
      <c r="B17" s="11">
        <v>0.67</v>
      </c>
      <c r="C17" s="11">
        <v>0.53</v>
      </c>
      <c r="D17" s="11">
        <v>0.79</v>
      </c>
      <c r="E17" s="11">
        <v>1.4E-2</v>
      </c>
      <c r="G17" t="s">
        <v>75</v>
      </c>
    </row>
    <row r="18" spans="1:8" x14ac:dyDescent="0.3">
      <c r="A18" s="15" t="s">
        <v>117</v>
      </c>
      <c r="B18" s="11">
        <v>0.77</v>
      </c>
      <c r="C18" s="11">
        <v>0.59</v>
      </c>
      <c r="D18" s="11">
        <v>0.73</v>
      </c>
      <c r="E18" s="11">
        <v>1.4E-2</v>
      </c>
      <c r="G18" t="s">
        <v>76</v>
      </c>
      <c r="H18" t="s">
        <v>77</v>
      </c>
    </row>
    <row r="19" spans="1:8" x14ac:dyDescent="0.3">
      <c r="A19" s="15" t="s">
        <v>118</v>
      </c>
      <c r="B19" s="11">
        <v>0.66</v>
      </c>
      <c r="C19" s="11">
        <v>0.44</v>
      </c>
      <c r="D19" s="11">
        <v>0.65</v>
      </c>
      <c r="E19" s="11">
        <v>2.5000000000000001E-2</v>
      </c>
      <c r="H19" t="s">
        <v>78</v>
      </c>
    </row>
    <row r="20" spans="1:8" x14ac:dyDescent="0.3">
      <c r="A20" s="15" t="s">
        <v>119</v>
      </c>
      <c r="B20" s="11">
        <v>0.55000000000000004</v>
      </c>
      <c r="C20" s="11">
        <v>0.41</v>
      </c>
      <c r="D20" s="11">
        <v>0.51</v>
      </c>
      <c r="E20" s="11">
        <v>2.4E-2</v>
      </c>
      <c r="H20" t="s">
        <v>79</v>
      </c>
    </row>
    <row r="21" spans="1:8" x14ac:dyDescent="0.3">
      <c r="A21" s="16" t="s">
        <v>273</v>
      </c>
      <c r="B21" s="11">
        <v>16.79</v>
      </c>
      <c r="G21" t="s">
        <v>272</v>
      </c>
    </row>
    <row r="22" spans="1:8" x14ac:dyDescent="0.3">
      <c r="A22" s="16" t="s">
        <v>274</v>
      </c>
      <c r="B22" s="11">
        <v>0.19400000000000001</v>
      </c>
    </row>
    <row r="23" spans="1:8" x14ac:dyDescent="0.3">
      <c r="A23" s="16" t="s">
        <v>275</v>
      </c>
      <c r="B23" s="11">
        <v>0.50800000000000001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249977111117893"/>
  </sheetPr>
  <dimension ref="A1:D21"/>
  <sheetViews>
    <sheetView workbookViewId="0">
      <selection activeCell="K14" sqref="K14"/>
    </sheetView>
  </sheetViews>
  <sheetFormatPr defaultRowHeight="14.4" x14ac:dyDescent="0.3"/>
  <cols>
    <col min="1" max="1" width="13.77734375" customWidth="1"/>
    <col min="3" max="3" width="57" customWidth="1"/>
    <col min="4" max="4" width="19.21875" customWidth="1"/>
  </cols>
  <sheetData>
    <row r="1" spans="1:4" x14ac:dyDescent="0.3">
      <c r="A1" s="4" t="s">
        <v>161</v>
      </c>
      <c r="B1" s="4" t="s">
        <v>163</v>
      </c>
      <c r="C1" s="4" t="s">
        <v>133</v>
      </c>
      <c r="D1" s="4" t="s">
        <v>204</v>
      </c>
    </row>
    <row r="2" spans="1:4" x14ac:dyDescent="0.3">
      <c r="A2" t="s">
        <v>22</v>
      </c>
      <c r="B2">
        <f>52/12</f>
        <v>4.333333333333333</v>
      </c>
      <c r="C2" t="s">
        <v>23</v>
      </c>
    </row>
    <row r="3" spans="1:4" x14ac:dyDescent="0.3">
      <c r="A3" t="s">
        <v>24</v>
      </c>
      <c r="B3">
        <f>-LN(1-0.106)</f>
        <v>0.11204950380862289</v>
      </c>
      <c r="C3" t="s">
        <v>25</v>
      </c>
      <c r="D3" t="s">
        <v>132</v>
      </c>
    </row>
    <row r="4" spans="1:4" x14ac:dyDescent="0.3">
      <c r="A4" t="s">
        <v>26</v>
      </c>
      <c r="B4">
        <f>-LN(1-0.116)</f>
        <v>0.1232982163444936</v>
      </c>
      <c r="C4" t="s">
        <v>27</v>
      </c>
    </row>
    <row r="5" spans="1:4" x14ac:dyDescent="0.3">
      <c r="A5" t="s">
        <v>28</v>
      </c>
      <c r="B5">
        <f>-LN(1-0.074)</f>
        <v>7.6881044335957618E-2</v>
      </c>
      <c r="C5" t="s">
        <v>29</v>
      </c>
    </row>
    <row r="6" spans="1:4" x14ac:dyDescent="0.3">
      <c r="A6" t="s">
        <v>30</v>
      </c>
      <c r="B6">
        <f>-LN(1-0.085)</f>
        <v>8.8831213706615703E-2</v>
      </c>
      <c r="C6" t="s">
        <v>31</v>
      </c>
    </row>
    <row r="7" spans="1:4" x14ac:dyDescent="0.3">
      <c r="A7" t="s">
        <v>32</v>
      </c>
      <c r="B7">
        <f>-LN(1-0.106)</f>
        <v>0.11204950380862289</v>
      </c>
      <c r="C7" t="s">
        <v>25</v>
      </c>
    </row>
    <row r="8" spans="1:4" x14ac:dyDescent="0.3">
      <c r="A8" t="s">
        <v>33</v>
      </c>
      <c r="B8">
        <f>-LN(1-0.085)</f>
        <v>8.8831213706615703E-2</v>
      </c>
      <c r="C8" t="s">
        <v>31</v>
      </c>
    </row>
    <row r="9" spans="1:4" x14ac:dyDescent="0.3">
      <c r="A9" t="s">
        <v>34</v>
      </c>
      <c r="B9">
        <f>-LN(1-0.105)</f>
        <v>0.11093156070728166</v>
      </c>
      <c r="C9" t="s">
        <v>35</v>
      </c>
    </row>
    <row r="10" spans="1:4" x14ac:dyDescent="0.3">
      <c r="A10" t="s">
        <v>36</v>
      </c>
      <c r="B10">
        <f>-LN(1-0.13)</f>
        <v>0.13926206733350766</v>
      </c>
      <c r="C10" t="s">
        <v>37</v>
      </c>
    </row>
    <row r="11" spans="1:4" x14ac:dyDescent="0.3">
      <c r="A11" t="s">
        <v>38</v>
      </c>
      <c r="B11">
        <f>-LN(1-0.037)</f>
        <v>3.7701867184011528E-2</v>
      </c>
      <c r="C11" t="s">
        <v>39</v>
      </c>
    </row>
    <row r="12" spans="1:4" x14ac:dyDescent="0.3">
      <c r="A12" t="s">
        <v>40</v>
      </c>
      <c r="B12">
        <f>-LN(1-0.068)</f>
        <v>7.0422464296545931E-2</v>
      </c>
      <c r="C12" t="s">
        <v>41</v>
      </c>
    </row>
    <row r="13" spans="1:4" x14ac:dyDescent="0.3">
      <c r="A13" t="s">
        <v>42</v>
      </c>
      <c r="B13">
        <f>-LN(1-0.01)</f>
        <v>1.0050335853501451E-2</v>
      </c>
      <c r="C13" t="s">
        <v>43</v>
      </c>
    </row>
    <row r="14" spans="1:4" x14ac:dyDescent="0.3">
      <c r="A14" t="s">
        <v>44</v>
      </c>
      <c r="B14">
        <f>-LN(1-0.1)</f>
        <v>0.10536051565782628</v>
      </c>
      <c r="C14" t="s">
        <v>45</v>
      </c>
    </row>
    <row r="15" spans="1:4" x14ac:dyDescent="0.3">
      <c r="A15" t="s">
        <v>46</v>
      </c>
      <c r="B15">
        <f>-LN(1-0.033)</f>
        <v>3.3556783528842754E-2</v>
      </c>
      <c r="C15" t="s">
        <v>47</v>
      </c>
    </row>
    <row r="16" spans="1:4" x14ac:dyDescent="0.3">
      <c r="A16" t="s">
        <v>48</v>
      </c>
      <c r="B16">
        <f>-LN(1-0.138)</f>
        <v>0.14850000831844395</v>
      </c>
      <c r="C16" t="s">
        <v>49</v>
      </c>
    </row>
    <row r="17" spans="1:4" x14ac:dyDescent="0.3">
      <c r="A17" t="s">
        <v>50</v>
      </c>
      <c r="B17">
        <f>-LN(1-0.605)</f>
        <v>0.92886951408101515</v>
      </c>
      <c r="C17" t="s">
        <v>51</v>
      </c>
    </row>
    <row r="18" spans="1:4" x14ac:dyDescent="0.3">
      <c r="A18" t="s">
        <v>52</v>
      </c>
      <c r="B18">
        <f>-LN(1-0.169)</f>
        <v>0.18512548412668892</v>
      </c>
      <c r="C18" t="s">
        <v>53</v>
      </c>
    </row>
    <row r="19" spans="1:4" x14ac:dyDescent="0.3">
      <c r="A19" t="s">
        <v>54</v>
      </c>
      <c r="B19">
        <f>-LN(1-0.034)</f>
        <v>3.459144476961909E-2</v>
      </c>
      <c r="C19" t="s">
        <v>55</v>
      </c>
    </row>
    <row r="20" spans="1:4" x14ac:dyDescent="0.3">
      <c r="A20" t="s">
        <v>56</v>
      </c>
      <c r="B20">
        <f>1/(-1/LN(1-(0.138+0.605)/2)-1/LN(1-0.02))</f>
        <v>1.9360505729265176E-2</v>
      </c>
      <c r="C20" t="s">
        <v>58</v>
      </c>
      <c r="D20" t="s">
        <v>59</v>
      </c>
    </row>
    <row r="21" spans="1:4" x14ac:dyDescent="0.3">
      <c r="A21" t="s">
        <v>57</v>
      </c>
      <c r="B21">
        <v>1</v>
      </c>
      <c r="D21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B17"/>
  <sheetViews>
    <sheetView workbookViewId="0">
      <selection activeCell="E4" sqref="E4"/>
    </sheetView>
  </sheetViews>
  <sheetFormatPr defaultRowHeight="14.4" x14ac:dyDescent="0.3"/>
  <sheetData>
    <row r="1" spans="1:2" ht="43.2" x14ac:dyDescent="0.3">
      <c r="A1" s="10" t="s">
        <v>0</v>
      </c>
      <c r="B1" s="4" t="s">
        <v>135</v>
      </c>
    </row>
    <row r="2" spans="1:2" x14ac:dyDescent="0.3">
      <c r="A2">
        <v>2013</v>
      </c>
      <c r="B2">
        <v>1</v>
      </c>
    </row>
    <row r="3" spans="1:2" x14ac:dyDescent="0.3">
      <c r="A3">
        <v>2012</v>
      </c>
      <c r="B3">
        <v>4</v>
      </c>
    </row>
    <row r="4" spans="1:2" x14ac:dyDescent="0.3">
      <c r="A4">
        <v>2011</v>
      </c>
      <c r="B4">
        <v>2</v>
      </c>
    </row>
    <row r="5" spans="1:2" x14ac:dyDescent="0.3">
      <c r="A5">
        <v>2010</v>
      </c>
      <c r="B5">
        <v>3</v>
      </c>
    </row>
    <row r="6" spans="1:2" x14ac:dyDescent="0.3">
      <c r="A6">
        <v>2009</v>
      </c>
      <c r="B6">
        <v>1</v>
      </c>
    </row>
    <row r="7" spans="1:2" x14ac:dyDescent="0.3">
      <c r="A7">
        <v>2008</v>
      </c>
      <c r="B7">
        <v>1</v>
      </c>
    </row>
    <row r="8" spans="1:2" x14ac:dyDescent="0.3">
      <c r="A8">
        <v>2007</v>
      </c>
      <c r="B8">
        <v>0</v>
      </c>
    </row>
    <row r="9" spans="1:2" x14ac:dyDescent="0.3">
      <c r="A9">
        <v>2006</v>
      </c>
      <c r="B9">
        <v>0</v>
      </c>
    </row>
    <row r="10" spans="1:2" x14ac:dyDescent="0.3">
      <c r="A10">
        <v>2005</v>
      </c>
      <c r="B10">
        <v>0</v>
      </c>
    </row>
    <row r="11" spans="1:2" x14ac:dyDescent="0.3">
      <c r="A11">
        <v>2004</v>
      </c>
      <c r="B11">
        <v>0</v>
      </c>
    </row>
    <row r="12" spans="1:2" x14ac:dyDescent="0.3">
      <c r="A12">
        <v>2003</v>
      </c>
      <c r="B12">
        <v>0</v>
      </c>
    </row>
    <row r="13" spans="1:2" x14ac:dyDescent="0.3">
      <c r="A13">
        <v>2002</v>
      </c>
      <c r="B13">
        <v>0</v>
      </c>
    </row>
    <row r="14" spans="1:2" x14ac:dyDescent="0.3">
      <c r="A14">
        <v>2001</v>
      </c>
      <c r="B14">
        <v>0</v>
      </c>
    </row>
    <row r="15" spans="1:2" x14ac:dyDescent="0.3">
      <c r="A15">
        <v>2000</v>
      </c>
      <c r="B15">
        <v>0</v>
      </c>
    </row>
    <row r="16" spans="1:2" x14ac:dyDescent="0.3">
      <c r="A16">
        <v>1999</v>
      </c>
      <c r="B16">
        <v>0</v>
      </c>
    </row>
    <row r="17" spans="1:2" x14ac:dyDescent="0.3">
      <c r="A17">
        <v>1998</v>
      </c>
      <c r="B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7"/>
  <sheetViews>
    <sheetView workbookViewId="0">
      <selection activeCell="E34" sqref="E34"/>
    </sheetView>
  </sheetViews>
  <sheetFormatPr defaultRowHeight="14.4" x14ac:dyDescent="0.3"/>
  <cols>
    <col min="1" max="1" width="20.5546875" customWidth="1"/>
    <col min="3" max="3" width="14.44140625" customWidth="1"/>
  </cols>
  <sheetData>
    <row r="1" spans="1:3" x14ac:dyDescent="0.3">
      <c r="A1" s="4" t="s">
        <v>161</v>
      </c>
      <c r="B1" s="4" t="s">
        <v>163</v>
      </c>
      <c r="C1" s="4" t="s">
        <v>162</v>
      </c>
    </row>
    <row r="2" spans="1:3" x14ac:dyDescent="0.3">
      <c r="A2" t="s">
        <v>210</v>
      </c>
      <c r="B2">
        <v>3</v>
      </c>
    </row>
    <row r="3" spans="1:3" x14ac:dyDescent="0.3">
      <c r="A3" t="s">
        <v>211</v>
      </c>
      <c r="B3">
        <v>10</v>
      </c>
    </row>
    <row r="4" spans="1:3" x14ac:dyDescent="0.3">
      <c r="A4" t="s">
        <v>212</v>
      </c>
      <c r="B4">
        <v>9</v>
      </c>
    </row>
    <row r="5" spans="1:3" x14ac:dyDescent="0.3">
      <c r="A5" t="s">
        <v>213</v>
      </c>
      <c r="B5">
        <v>4</v>
      </c>
    </row>
    <row r="6" spans="1:3" x14ac:dyDescent="0.3">
      <c r="A6" t="s">
        <v>214</v>
      </c>
      <c r="B6">
        <v>2</v>
      </c>
    </row>
    <row r="7" spans="1:3" x14ac:dyDescent="0.3">
      <c r="A7" t="s">
        <v>215</v>
      </c>
      <c r="B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workbookViewId="0">
      <selection activeCell="B30" sqref="B30"/>
    </sheetView>
  </sheetViews>
  <sheetFormatPr defaultRowHeight="14.4" x14ac:dyDescent="0.3"/>
  <cols>
    <col min="1" max="1" width="20.77734375" customWidth="1"/>
    <col min="4" max="4" width="13.44140625" customWidth="1"/>
  </cols>
  <sheetData>
    <row r="1" spans="1:4" x14ac:dyDescent="0.3">
      <c r="A1" s="10" t="s">
        <v>161</v>
      </c>
      <c r="B1" s="4" t="s">
        <v>163</v>
      </c>
      <c r="C1" s="10" t="s">
        <v>133</v>
      </c>
      <c r="D1" s="4" t="s">
        <v>162</v>
      </c>
    </row>
    <row r="2" spans="1:4" s="23" customFormat="1" x14ac:dyDescent="0.3">
      <c r="A2" s="24" t="s">
        <v>246</v>
      </c>
      <c r="B2" s="25">
        <v>0.42749999999999999</v>
      </c>
      <c r="C2" s="21"/>
      <c r="D2" s="22"/>
    </row>
    <row r="3" spans="1:4" s="18" customFormat="1" x14ac:dyDescent="0.3">
      <c r="A3" s="18" t="s">
        <v>216</v>
      </c>
      <c r="B3" s="18">
        <v>7.3000000000000001E-3</v>
      </c>
    </row>
    <row r="4" spans="1:4" x14ac:dyDescent="0.3">
      <c r="A4" t="s">
        <v>217</v>
      </c>
      <c r="B4">
        <v>3.5000000000000001E-3</v>
      </c>
    </row>
    <row r="5" spans="1:4" x14ac:dyDescent="0.3">
      <c r="A5" t="s">
        <v>218</v>
      </c>
      <c r="B5">
        <v>8.3000000000000001E-3</v>
      </c>
    </row>
    <row r="6" spans="1:4" x14ac:dyDescent="0.3">
      <c r="A6" t="s">
        <v>219</v>
      </c>
      <c r="B6">
        <v>8.3000000000000001E-3</v>
      </c>
    </row>
    <row r="7" spans="1:4" x14ac:dyDescent="0.3">
      <c r="A7" t="s">
        <v>220</v>
      </c>
      <c r="B7">
        <v>0.02</v>
      </c>
    </row>
    <row r="8" spans="1:4" x14ac:dyDescent="0.3">
      <c r="A8" t="s">
        <v>221</v>
      </c>
      <c r="B8">
        <v>0.02</v>
      </c>
    </row>
    <row r="9" spans="1:4" s="18" customFormat="1" x14ac:dyDescent="0.3">
      <c r="A9" s="18" t="s">
        <v>222</v>
      </c>
      <c r="B9" s="18">
        <v>4.9099999999999998E-2</v>
      </c>
    </row>
    <row r="10" spans="1:4" x14ac:dyDescent="0.3">
      <c r="A10" t="s">
        <v>223</v>
      </c>
      <c r="B10">
        <v>0.1037</v>
      </c>
    </row>
    <row r="11" spans="1:4" x14ac:dyDescent="0.3">
      <c r="A11" t="s">
        <v>224</v>
      </c>
      <c r="B11">
        <v>0.1037</v>
      </c>
    </row>
    <row r="12" spans="1:4" x14ac:dyDescent="0.3">
      <c r="A12" t="s">
        <v>225</v>
      </c>
      <c r="B12">
        <v>0.1037</v>
      </c>
    </row>
    <row r="13" spans="1:4" x14ac:dyDescent="0.3">
      <c r="A13" t="s">
        <v>226</v>
      </c>
      <c r="B13">
        <v>0.02</v>
      </c>
    </row>
    <row r="14" spans="1:4" x14ac:dyDescent="0.3">
      <c r="A14" t="s">
        <v>227</v>
      </c>
      <c r="B14">
        <v>0.02</v>
      </c>
    </row>
    <row r="15" spans="1:4" s="18" customFormat="1" x14ac:dyDescent="0.3">
      <c r="A15" s="18" t="s">
        <v>228</v>
      </c>
      <c r="B15" s="18">
        <v>4.9099999999999998E-2</v>
      </c>
    </row>
    <row r="16" spans="1:4" x14ac:dyDescent="0.3">
      <c r="A16" t="s">
        <v>229</v>
      </c>
      <c r="B16">
        <v>0.1037</v>
      </c>
    </row>
    <row r="17" spans="1:6" x14ac:dyDescent="0.3">
      <c r="A17" t="s">
        <v>230</v>
      </c>
      <c r="B17">
        <v>0.1037</v>
      </c>
    </row>
    <row r="18" spans="1:6" x14ac:dyDescent="0.3">
      <c r="A18" t="s">
        <v>231</v>
      </c>
      <c r="B18">
        <v>0.1037</v>
      </c>
    </row>
    <row r="19" spans="1:6" x14ac:dyDescent="0.3">
      <c r="A19" t="s">
        <v>232</v>
      </c>
      <c r="B19">
        <v>0.02</v>
      </c>
    </row>
    <row r="20" spans="1:6" x14ac:dyDescent="0.3">
      <c r="A20" t="s">
        <v>233</v>
      </c>
      <c r="B20">
        <v>0.02</v>
      </c>
    </row>
    <row r="21" spans="1:6" s="18" customFormat="1" x14ac:dyDescent="0.3">
      <c r="A21" s="18" t="s">
        <v>234</v>
      </c>
      <c r="B21">
        <v>2000</v>
      </c>
      <c r="C21" s="18" t="s">
        <v>243</v>
      </c>
      <c r="F21" s="18">
        <v>2500</v>
      </c>
    </row>
    <row r="22" spans="1:6" x14ac:dyDescent="0.3">
      <c r="A22" s="20" t="s">
        <v>235</v>
      </c>
      <c r="B22">
        <v>2000</v>
      </c>
      <c r="C22" t="s">
        <v>244</v>
      </c>
      <c r="F22">
        <v>2470</v>
      </c>
    </row>
    <row r="23" spans="1:6" x14ac:dyDescent="0.3">
      <c r="A23" s="20" t="s">
        <v>236</v>
      </c>
      <c r="B23">
        <v>2000</v>
      </c>
      <c r="C23" t="s">
        <v>245</v>
      </c>
      <c r="F23">
        <v>2470</v>
      </c>
    </row>
    <row r="24" spans="1:6" x14ac:dyDescent="0.3">
      <c r="A24" s="20" t="s">
        <v>237</v>
      </c>
      <c r="B24">
        <v>2000</v>
      </c>
      <c r="F24">
        <v>3985</v>
      </c>
    </row>
    <row r="25" spans="1:6" x14ac:dyDescent="0.3">
      <c r="A25" s="20" t="s">
        <v>238</v>
      </c>
      <c r="B25">
        <v>2000</v>
      </c>
      <c r="F25">
        <v>5000</v>
      </c>
    </row>
    <row r="26" spans="1:6" x14ac:dyDescent="0.3">
      <c r="A26" s="20" t="s">
        <v>239</v>
      </c>
      <c r="B26">
        <v>2000</v>
      </c>
      <c r="F26">
        <v>5500</v>
      </c>
    </row>
    <row r="27" spans="1:6" x14ac:dyDescent="0.3">
      <c r="A27" s="20" t="s">
        <v>240</v>
      </c>
      <c r="B27">
        <v>1000</v>
      </c>
      <c r="F27">
        <v>6300</v>
      </c>
    </row>
    <row r="28" spans="1:6" x14ac:dyDescent="0.3">
      <c r="A28" s="20" t="s">
        <v>241</v>
      </c>
      <c r="B28">
        <v>1000</v>
      </c>
      <c r="F28">
        <v>6195</v>
      </c>
    </row>
    <row r="29" spans="1:6" x14ac:dyDescent="0.3">
      <c r="A29" s="20" t="s">
        <v>242</v>
      </c>
      <c r="B29">
        <v>1000</v>
      </c>
      <c r="F29">
        <v>10000</v>
      </c>
    </row>
    <row r="30" spans="1:6" x14ac:dyDescent="0.3">
      <c r="A30" s="20" t="s">
        <v>254</v>
      </c>
      <c r="B30" s="20">
        <v>0</v>
      </c>
    </row>
    <row r="31" spans="1:6" x14ac:dyDescent="0.3">
      <c r="A31" s="20" t="s">
        <v>256</v>
      </c>
      <c r="B31" s="20">
        <v>0</v>
      </c>
    </row>
  </sheetData>
  <pageMargins left="0.7" right="0.7" top="0.75" bottom="0.75" header="0.3" footer="0.3"/>
  <pageSetup paperSize="1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"/>
  <sheetViews>
    <sheetView workbookViewId="0">
      <selection activeCell="B30" sqref="B30"/>
    </sheetView>
  </sheetViews>
  <sheetFormatPr defaultRowHeight="14.4" x14ac:dyDescent="0.3"/>
  <cols>
    <col min="2" max="2" width="16.21875" customWidth="1"/>
    <col min="3" max="3" width="11.5546875" bestFit="1" customWidth="1"/>
  </cols>
  <sheetData>
    <row r="1" spans="1:3" x14ac:dyDescent="0.3">
      <c r="A1" s="9" t="s">
        <v>0</v>
      </c>
      <c r="B1" s="9" t="s">
        <v>262</v>
      </c>
    </row>
    <row r="2" spans="1:3" x14ac:dyDescent="0.3">
      <c r="A2">
        <v>2016</v>
      </c>
      <c r="B2" s="30">
        <f t="shared" ref="B2:B4" si="0">($B$6-$B$30)/($A$6-$A$30)*(A2-$A$30)+$B$30</f>
        <v>4865666.666666667</v>
      </c>
      <c r="C2" s="29"/>
    </row>
    <row r="3" spans="1:3" x14ac:dyDescent="0.3">
      <c r="A3">
        <v>2015</v>
      </c>
      <c r="B3" s="30">
        <f t="shared" si="0"/>
        <v>4740500</v>
      </c>
    </row>
    <row r="4" spans="1:3" x14ac:dyDescent="0.3">
      <c r="A4">
        <v>2014</v>
      </c>
      <c r="B4" s="30">
        <f t="shared" si="0"/>
        <v>4615333.333333334</v>
      </c>
    </row>
    <row r="5" spans="1:3" x14ac:dyDescent="0.3">
      <c r="A5">
        <v>2013</v>
      </c>
      <c r="B5" s="30">
        <f>($B$6-$B$30)/($A$6-$A$30)*(A5-$A$30)+$B$30</f>
        <v>4490166.666666667</v>
      </c>
    </row>
    <row r="6" spans="1:3" x14ac:dyDescent="0.3">
      <c r="A6">
        <v>2012</v>
      </c>
      <c r="B6" s="30">
        <v>4365000</v>
      </c>
    </row>
    <row r="7" spans="1:3" x14ac:dyDescent="0.3">
      <c r="A7">
        <v>2011</v>
      </c>
      <c r="B7" s="30">
        <f>($B$6-$B$30)/($A$6-$A$30)*(A7-$A$30)+$B$30</f>
        <v>4239833.333333334</v>
      </c>
    </row>
    <row r="8" spans="1:3" x14ac:dyDescent="0.3">
      <c r="A8">
        <v>2010</v>
      </c>
      <c r="B8" s="30">
        <f t="shared" ref="B8:B29" si="1">($B$6-$B$30)/($A$6-$A$30)*(A8-$A$30)+$B$30</f>
        <v>4114666.666666667</v>
      </c>
    </row>
    <row r="9" spans="1:3" x14ac:dyDescent="0.3">
      <c r="A9">
        <v>2009</v>
      </c>
      <c r="B9" s="30">
        <f t="shared" si="1"/>
        <v>3989500</v>
      </c>
    </row>
    <row r="10" spans="1:3" x14ac:dyDescent="0.3">
      <c r="A10">
        <v>2008</v>
      </c>
      <c r="B10" s="30">
        <f t="shared" si="1"/>
        <v>3864333.3333333335</v>
      </c>
    </row>
    <row r="11" spans="1:3" x14ac:dyDescent="0.3">
      <c r="A11">
        <v>2007</v>
      </c>
      <c r="B11" s="30">
        <f t="shared" si="1"/>
        <v>3739166.666666667</v>
      </c>
    </row>
    <row r="12" spans="1:3" x14ac:dyDescent="0.3">
      <c r="A12">
        <v>2006</v>
      </c>
      <c r="B12" s="30">
        <f t="shared" si="1"/>
        <v>3614000</v>
      </c>
      <c r="C12" s="29"/>
    </row>
    <row r="13" spans="1:3" x14ac:dyDescent="0.3">
      <c r="A13">
        <v>2005</v>
      </c>
      <c r="B13" s="30">
        <f t="shared" si="1"/>
        <v>3488833.3333333335</v>
      </c>
    </row>
    <row r="14" spans="1:3" x14ac:dyDescent="0.3">
      <c r="A14">
        <v>2004</v>
      </c>
      <c r="B14" s="30">
        <f t="shared" si="1"/>
        <v>3363666.666666667</v>
      </c>
    </row>
    <row r="15" spans="1:3" x14ac:dyDescent="0.3">
      <c r="A15">
        <v>2003</v>
      </c>
      <c r="B15" s="30">
        <f t="shared" si="1"/>
        <v>3238500</v>
      </c>
    </row>
    <row r="16" spans="1:3" x14ac:dyDescent="0.3">
      <c r="A16">
        <v>2002</v>
      </c>
      <c r="B16" s="30">
        <f t="shared" si="1"/>
        <v>3113333.3333333335</v>
      </c>
    </row>
    <row r="17" spans="1:2" x14ac:dyDescent="0.3">
      <c r="A17">
        <v>2001</v>
      </c>
      <c r="B17" s="30">
        <f t="shared" si="1"/>
        <v>2988166.666666667</v>
      </c>
    </row>
    <row r="18" spans="1:2" x14ac:dyDescent="0.3">
      <c r="A18">
        <v>2000</v>
      </c>
      <c r="B18" s="30">
        <f t="shared" si="1"/>
        <v>2863000</v>
      </c>
    </row>
    <row r="19" spans="1:2" x14ac:dyDescent="0.3">
      <c r="A19">
        <v>1999</v>
      </c>
      <c r="B19" s="30">
        <f t="shared" si="1"/>
        <v>2737833.3333333335</v>
      </c>
    </row>
    <row r="20" spans="1:2" x14ac:dyDescent="0.3">
      <c r="A20">
        <v>1998</v>
      </c>
      <c r="B20" s="30">
        <f t="shared" si="1"/>
        <v>2612666.666666667</v>
      </c>
    </row>
    <row r="21" spans="1:2" x14ac:dyDescent="0.3">
      <c r="A21">
        <v>1997</v>
      </c>
      <c r="B21" s="30">
        <f t="shared" si="1"/>
        <v>2487500</v>
      </c>
    </row>
    <row r="22" spans="1:2" x14ac:dyDescent="0.3">
      <c r="A22">
        <v>1996</v>
      </c>
      <c r="B22" s="30">
        <f t="shared" si="1"/>
        <v>2362333.3333333335</v>
      </c>
    </row>
    <row r="23" spans="1:2" x14ac:dyDescent="0.3">
      <c r="A23">
        <v>1995</v>
      </c>
      <c r="B23" s="30">
        <f t="shared" si="1"/>
        <v>2237166.666666667</v>
      </c>
    </row>
    <row r="24" spans="1:2" x14ac:dyDescent="0.3">
      <c r="A24">
        <v>1994</v>
      </c>
      <c r="B24" s="30">
        <f t="shared" si="1"/>
        <v>2112000</v>
      </c>
    </row>
    <row r="25" spans="1:2" x14ac:dyDescent="0.3">
      <c r="A25">
        <v>1993</v>
      </c>
      <c r="B25" s="30">
        <f t="shared" si="1"/>
        <v>1986833.3333333335</v>
      </c>
    </row>
    <row r="26" spans="1:2" x14ac:dyDescent="0.3">
      <c r="A26">
        <v>1992</v>
      </c>
      <c r="B26" s="30">
        <f t="shared" si="1"/>
        <v>1861666.6666666667</v>
      </c>
    </row>
    <row r="27" spans="1:2" x14ac:dyDescent="0.3">
      <c r="A27">
        <v>1991</v>
      </c>
      <c r="B27" s="30">
        <f t="shared" si="1"/>
        <v>1736500</v>
      </c>
    </row>
    <row r="28" spans="1:2" x14ac:dyDescent="0.3">
      <c r="A28">
        <v>1990</v>
      </c>
      <c r="B28" s="30">
        <f t="shared" si="1"/>
        <v>1611333.3333333333</v>
      </c>
    </row>
    <row r="29" spans="1:2" x14ac:dyDescent="0.3">
      <c r="A29">
        <v>1989</v>
      </c>
      <c r="B29" s="30">
        <f t="shared" si="1"/>
        <v>1486166.6666666667</v>
      </c>
    </row>
    <row r="30" spans="1:2" x14ac:dyDescent="0.3">
      <c r="A30">
        <v>1988</v>
      </c>
      <c r="B30" s="30">
        <v>1361000</v>
      </c>
    </row>
    <row r="31" spans="1:2" x14ac:dyDescent="0.3">
      <c r="B31" s="28"/>
    </row>
  </sheetData>
  <pageMargins left="0.7" right="0.7" top="0.75" bottom="0.75" header="0.3" footer="0.3"/>
  <pageSetup paperSize="1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B23"/>
  <sheetViews>
    <sheetView workbookViewId="0">
      <selection activeCell="A9" sqref="A9"/>
    </sheetView>
  </sheetViews>
  <sheetFormatPr defaultRowHeight="14.4" x14ac:dyDescent="0.3"/>
  <cols>
    <col min="2" max="2" width="18" customWidth="1"/>
  </cols>
  <sheetData>
    <row r="1" spans="1:2" ht="43.2" x14ac:dyDescent="0.3">
      <c r="A1" s="10" t="s">
        <v>0</v>
      </c>
      <c r="B1" s="4" t="s">
        <v>14</v>
      </c>
    </row>
    <row r="2" spans="1:2" x14ac:dyDescent="0.3">
      <c r="A2" s="11">
        <v>2015</v>
      </c>
      <c r="B2" s="31">
        <v>48000</v>
      </c>
    </row>
    <row r="3" spans="1:2" x14ac:dyDescent="0.3">
      <c r="A3" s="27">
        <v>2012</v>
      </c>
      <c r="B3" s="31">
        <v>47000</v>
      </c>
    </row>
    <row r="4" spans="1:2" x14ac:dyDescent="0.3">
      <c r="A4">
        <v>2011</v>
      </c>
      <c r="B4">
        <v>46000</v>
      </c>
    </row>
    <row r="5" spans="1:2" x14ac:dyDescent="0.3">
      <c r="A5" s="27">
        <v>2010</v>
      </c>
      <c r="B5" s="31">
        <v>45000</v>
      </c>
    </row>
    <row r="6" spans="1:2" x14ac:dyDescent="0.3">
      <c r="A6" s="27">
        <v>2000</v>
      </c>
      <c r="B6" s="31">
        <v>40000</v>
      </c>
    </row>
    <row r="7" spans="1:2" x14ac:dyDescent="0.3">
      <c r="A7" s="11">
        <v>1998</v>
      </c>
      <c r="B7" s="11">
        <v>38000</v>
      </c>
    </row>
    <row r="8" spans="1:2" x14ac:dyDescent="0.3">
      <c r="A8" s="11">
        <v>1996</v>
      </c>
      <c r="B8" s="11">
        <v>36000</v>
      </c>
    </row>
    <row r="9" spans="1:2" x14ac:dyDescent="0.3">
      <c r="A9" s="11"/>
      <c r="B9" s="11"/>
    </row>
    <row r="10" spans="1:2" x14ac:dyDescent="0.3">
      <c r="A10" s="11"/>
      <c r="B10" s="11"/>
    </row>
    <row r="11" spans="1:2" x14ac:dyDescent="0.3">
      <c r="A11" s="11"/>
      <c r="B11" s="11"/>
    </row>
    <row r="12" spans="1:2" x14ac:dyDescent="0.3">
      <c r="A12" s="11"/>
      <c r="B12" s="11"/>
    </row>
    <row r="13" spans="1:2" x14ac:dyDescent="0.3">
      <c r="A13" s="11"/>
      <c r="B13" s="11"/>
    </row>
    <row r="14" spans="1:2" x14ac:dyDescent="0.3">
      <c r="A14" s="11"/>
      <c r="B14" s="11"/>
    </row>
    <row r="15" spans="1:2" x14ac:dyDescent="0.3">
      <c r="A15" s="11"/>
      <c r="B15" s="11"/>
    </row>
    <row r="16" spans="1:2" x14ac:dyDescent="0.3">
      <c r="A16" s="11"/>
      <c r="B16" s="11"/>
    </row>
    <row r="17" spans="1:2" x14ac:dyDescent="0.3">
      <c r="A17" s="11"/>
      <c r="B17" s="11"/>
    </row>
    <row r="18" spans="1:2" x14ac:dyDescent="0.3">
      <c r="A18" s="11"/>
      <c r="B18" s="11"/>
    </row>
    <row r="19" spans="1:2" x14ac:dyDescent="0.3">
      <c r="A19" s="11"/>
      <c r="B19" s="11"/>
    </row>
    <row r="20" spans="1:2" x14ac:dyDescent="0.3">
      <c r="A20" s="11"/>
      <c r="B20" s="11"/>
    </row>
    <row r="21" spans="1:2" x14ac:dyDescent="0.3">
      <c r="A21" s="11"/>
      <c r="B21" s="11"/>
    </row>
    <row r="22" spans="1:2" x14ac:dyDescent="0.3">
      <c r="A22" s="11"/>
      <c r="B22" s="11"/>
    </row>
    <row r="23" spans="1:2" x14ac:dyDescent="0.3">
      <c r="A23" s="11"/>
      <c r="B23" s="11"/>
    </row>
  </sheetData>
  <sortState ref="A1:B32">
    <sortCondition descending="1" ref="A1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B2"/>
  <sheetViews>
    <sheetView workbookViewId="0">
      <selection activeCell="B3" sqref="B3"/>
    </sheetView>
  </sheetViews>
  <sheetFormatPr defaultRowHeight="14.4" x14ac:dyDescent="0.3"/>
  <cols>
    <col min="2" max="2" width="15" customWidth="1"/>
  </cols>
  <sheetData>
    <row r="1" spans="1:2" ht="28.8" x14ac:dyDescent="0.3">
      <c r="A1" s="10" t="s">
        <v>0</v>
      </c>
      <c r="B1" s="4" t="s">
        <v>134</v>
      </c>
    </row>
    <row r="2" spans="1:2" x14ac:dyDescent="0.3">
      <c r="A2">
        <v>2015</v>
      </c>
      <c r="B2">
        <v>100</v>
      </c>
    </row>
  </sheetData>
  <sortState ref="A2:B33">
    <sortCondition descending="1" ref="A2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F3"/>
  <sheetViews>
    <sheetView workbookViewId="0">
      <selection activeCell="F8" sqref="F8"/>
    </sheetView>
  </sheetViews>
  <sheetFormatPr defaultRowHeight="14.4" x14ac:dyDescent="0.3"/>
  <cols>
    <col min="2" max="6" width="12.5546875" customWidth="1"/>
  </cols>
  <sheetData>
    <row r="1" spans="1:6" x14ac:dyDescent="0.3">
      <c r="B1" s="9" t="s">
        <v>7</v>
      </c>
      <c r="C1" s="7"/>
      <c r="D1" s="7"/>
      <c r="E1" s="7"/>
      <c r="F1" s="7"/>
    </row>
    <row r="2" spans="1:6" s="1" customFormat="1" x14ac:dyDescent="0.3">
      <c r="A2" s="4" t="s">
        <v>0</v>
      </c>
      <c r="B2" s="4" t="s">
        <v>3</v>
      </c>
      <c r="C2" s="4" t="s">
        <v>4</v>
      </c>
      <c r="D2" s="4" t="s">
        <v>2</v>
      </c>
      <c r="E2" s="4" t="s">
        <v>5</v>
      </c>
      <c r="F2" s="5" t="s">
        <v>6</v>
      </c>
    </row>
    <row r="3" spans="1:6" x14ac:dyDescent="0.3">
      <c r="A3">
        <v>2013</v>
      </c>
      <c r="B3">
        <v>0.8</v>
      </c>
      <c r="C3">
        <v>7.0000000000000007E-2</v>
      </c>
      <c r="D3">
        <v>0.06</v>
      </c>
      <c r="E3">
        <v>0.05</v>
      </c>
      <c r="F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E3"/>
  <sheetViews>
    <sheetView workbookViewId="0">
      <selection activeCell="E4" sqref="E4"/>
    </sheetView>
  </sheetViews>
  <sheetFormatPr defaultRowHeight="14.4" x14ac:dyDescent="0.3"/>
  <cols>
    <col min="1" max="1" width="13.5546875" customWidth="1"/>
    <col min="2" max="5" width="15.21875" customWidth="1"/>
  </cols>
  <sheetData>
    <row r="1" spans="1:5" x14ac:dyDescent="0.3">
      <c r="B1" s="9" t="s">
        <v>8</v>
      </c>
      <c r="C1" s="9"/>
      <c r="D1" s="9"/>
      <c r="E1" s="9"/>
    </row>
    <row r="2" spans="1:5" s="1" customFormat="1" ht="43.2" x14ac:dyDescent="0.3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3">
      <c r="A3" s="8">
        <v>2015</v>
      </c>
      <c r="B3" s="8">
        <v>0.1</v>
      </c>
      <c r="C3" s="8">
        <v>0.01</v>
      </c>
      <c r="D3" s="8">
        <v>1E-3</v>
      </c>
      <c r="E3" s="8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E9"/>
  <sheetViews>
    <sheetView zoomScaleNormal="100" workbookViewId="0">
      <selection activeCell="B4" sqref="B4"/>
    </sheetView>
  </sheetViews>
  <sheetFormatPr defaultRowHeight="14.4" x14ac:dyDescent="0.3"/>
  <cols>
    <col min="2" max="2" width="13.21875" customWidth="1"/>
  </cols>
  <sheetData>
    <row r="1" spans="1:5" s="1" customFormat="1" ht="28.8" x14ac:dyDescent="0.3">
      <c r="A1" s="4" t="s">
        <v>0</v>
      </c>
      <c r="B1" s="4" t="s">
        <v>1</v>
      </c>
    </row>
    <row r="2" spans="1:5" x14ac:dyDescent="0.3">
      <c r="A2" s="6">
        <v>2015</v>
      </c>
      <c r="B2" s="6">
        <v>0.23</v>
      </c>
    </row>
    <row r="3" spans="1:5" x14ac:dyDescent="0.3">
      <c r="A3" s="26">
        <v>2012</v>
      </c>
      <c r="B3" s="26">
        <v>0.21</v>
      </c>
    </row>
    <row r="4" spans="1:5" x14ac:dyDescent="0.3">
      <c r="A4" s="26">
        <v>2010</v>
      </c>
      <c r="B4" s="26">
        <v>0.18</v>
      </c>
    </row>
    <row r="5" spans="1:5" x14ac:dyDescent="0.3">
      <c r="A5" s="26"/>
      <c r="B5" s="26"/>
    </row>
    <row r="6" spans="1:5" x14ac:dyDescent="0.3">
      <c r="A6" s="6"/>
      <c r="B6" s="6"/>
    </row>
    <row r="9" spans="1:5" x14ac:dyDescent="0.3">
      <c r="E9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E3"/>
  <sheetViews>
    <sheetView workbookViewId="0">
      <selection activeCell="C3" sqref="C3"/>
    </sheetView>
  </sheetViews>
  <sheetFormatPr defaultRowHeight="14.4" x14ac:dyDescent="0.3"/>
  <cols>
    <col min="2" max="5" width="15.44140625" customWidth="1"/>
  </cols>
  <sheetData>
    <row r="1" spans="1:5" ht="18" x14ac:dyDescent="0.35">
      <c r="B1" s="9" t="s">
        <v>13</v>
      </c>
      <c r="C1" s="9"/>
      <c r="D1" s="9"/>
      <c r="E1" s="9"/>
    </row>
    <row r="2" spans="1:5" s="1" customFormat="1" ht="43.2" x14ac:dyDescent="0.3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3">
      <c r="A3">
        <v>2015</v>
      </c>
      <c r="B3">
        <f>0.1*cascade_all!B3</f>
        <v>1.0000000000000002E-2</v>
      </c>
      <c r="C3">
        <f>0.1*cascade_all!C3</f>
        <v>1E-3</v>
      </c>
      <c r="D3">
        <f>0.1*cascade_all!D3</f>
        <v>1E-4</v>
      </c>
      <c r="E3">
        <f>0.1*cascade_all!E3</f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C2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4" t="s">
        <v>0</v>
      </c>
      <c r="B1" s="4" t="s">
        <v>136</v>
      </c>
      <c r="C1" s="4" t="s">
        <v>137</v>
      </c>
    </row>
    <row r="2" spans="1:3" x14ac:dyDescent="0.3">
      <c r="A2">
        <v>2015</v>
      </c>
      <c r="B2">
        <v>0.01</v>
      </c>
      <c r="C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demographics</vt:lpstr>
      <vt:lpstr>cases</vt:lpstr>
      <vt:lpstr>diagnoses</vt:lpstr>
      <vt:lpstr>disease</vt:lpstr>
      <vt:lpstr>cascade_all</vt:lpstr>
      <vt:lpstr>prev_PWID</vt:lpstr>
      <vt:lpstr>cascade_PWID</vt:lpstr>
      <vt:lpstr>Interventions_PWID</vt:lpstr>
      <vt:lpstr>other_epi</vt:lpstr>
      <vt:lpstr>costs</vt:lpstr>
      <vt:lpstr>health_utilities</vt:lpstr>
      <vt:lpstr>transition_rates</vt:lpstr>
      <vt:lpstr>HCC</vt:lpstr>
      <vt:lpstr>structure</vt:lpstr>
      <vt:lpstr>calibration_guess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2017-01-05T02:41:12Z</dcterms:created>
  <dcterms:modified xsi:type="dcterms:W3CDTF">2018-09-21T15:50:39Z</dcterms:modified>
</cp:coreProperties>
</file>