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3"/>
  </bookViews>
  <sheets>
    <sheet name="pars" sheetId="24" r:id="rId1"/>
    <sheet name="data" sheetId="5" r:id="rId2"/>
    <sheet name="mixing" sheetId="27" r:id="rId3"/>
    <sheet name="timepars" sheetId="20" r:id="rId4"/>
    <sheet name="scen_1" sheetId="25" r:id="rId5"/>
    <sheet name="scen_2" sheetId="26" r:id="rId6"/>
  </sheets>
  <calcPr calcId="162913"/>
</workbook>
</file>

<file path=xl/calcChain.xml><?xml version="1.0" encoding="utf-8"?>
<calcChain xmlns="http://schemas.openxmlformats.org/spreadsheetml/2006/main"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B3" i="5" l="1"/>
  <c r="B4" i="5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B5" i="5" l="1"/>
  <c r="C6" i="24"/>
  <c r="C4" i="24"/>
  <c r="D5" i="24"/>
  <c r="E5" i="24"/>
  <c r="E19" i="24"/>
  <c r="E12" i="24"/>
  <c r="L4" i="20"/>
  <c r="B6" i="5" l="1"/>
  <c r="E4" i="24"/>
  <c r="D4" i="24"/>
  <c r="D6" i="24"/>
  <c r="E6" i="24"/>
  <c r="K4" i="20"/>
  <c r="B7" i="5" l="1"/>
  <c r="V12" i="5"/>
  <c r="Y12" i="5" s="1"/>
  <c r="X12" i="5" s="1"/>
  <c r="B8" i="5" l="1"/>
  <c r="M12" i="5"/>
  <c r="B9" i="5" l="1"/>
  <c r="J7" i="24"/>
  <c r="V11" i="5"/>
  <c r="B10" i="5" l="1"/>
  <c r="Y11" i="5"/>
  <c r="X11" i="5" s="1"/>
  <c r="H2" i="5"/>
  <c r="B12" i="5" l="1"/>
  <c r="I7" i="24" s="1"/>
  <c r="B11" i="5"/>
  <c r="H3" i="5"/>
  <c r="P3" i="5" s="1"/>
  <c r="O3" i="5" s="1"/>
  <c r="H5" i="5"/>
  <c r="P5" i="5" s="1"/>
  <c r="O5" i="5" s="1"/>
  <c r="Q5" i="5" s="1"/>
  <c r="H4" i="5"/>
  <c r="P4" i="5" s="1"/>
  <c r="O4" i="5" s="1"/>
  <c r="P2" i="5"/>
  <c r="R2" i="5" s="1"/>
  <c r="V3" i="5"/>
  <c r="Y3" i="5" s="1"/>
  <c r="V9" i="5"/>
  <c r="Y9" i="5" s="1"/>
  <c r="V10" i="5"/>
  <c r="Y10" i="5" s="1"/>
  <c r="V2" i="5"/>
  <c r="Y2" i="5" s="1"/>
  <c r="V8" i="5"/>
  <c r="Y8" i="5" s="1"/>
  <c r="V7" i="5"/>
  <c r="Y7" i="5" s="1"/>
  <c r="V6" i="5"/>
  <c r="Y6" i="5" s="1"/>
  <c r="V5" i="5"/>
  <c r="Y5" i="5" s="1"/>
  <c r="V4" i="5"/>
  <c r="Y4" i="5" s="1"/>
  <c r="O2" i="5" l="1"/>
  <c r="Q2" i="5" s="1"/>
  <c r="X4" i="5"/>
  <c r="X9" i="5"/>
  <c r="X10" i="5"/>
  <c r="X5" i="5"/>
  <c r="X8" i="5"/>
  <c r="X7" i="5"/>
  <c r="X6" i="5"/>
  <c r="X3" i="5"/>
  <c r="X2" i="5"/>
  <c r="H6" i="5"/>
  <c r="P6" i="5" s="1"/>
  <c r="R5" i="5"/>
  <c r="O6" i="5" l="1"/>
  <c r="Q6" i="5" s="1"/>
  <c r="R6" i="5"/>
  <c r="H7" i="5"/>
  <c r="P7" i="5" s="1"/>
  <c r="H8" i="5" l="1"/>
  <c r="P8" i="5" s="1"/>
  <c r="R8" i="5" s="1"/>
  <c r="O7" i="5"/>
  <c r="Q7" i="5" s="1"/>
  <c r="R7" i="5"/>
  <c r="O8" i="5" l="1"/>
  <c r="Q8" i="5" s="1"/>
  <c r="H9" i="5"/>
  <c r="P9" i="5" s="1"/>
  <c r="H10" i="5" l="1"/>
  <c r="P10" i="5" s="1"/>
  <c r="O9" i="5"/>
  <c r="Q9" i="5" s="1"/>
  <c r="R9" i="5"/>
  <c r="H11" i="5" l="1"/>
  <c r="P11" i="5" s="1"/>
  <c r="H12" i="5"/>
  <c r="P12" i="5" s="1"/>
  <c r="O10" i="5"/>
  <c r="Q10" i="5" s="1"/>
  <c r="R10" i="5"/>
  <c r="O12" i="5" l="1"/>
  <c r="R12" i="5"/>
  <c r="O11" i="5"/>
  <c r="Q11" i="5" s="1"/>
  <c r="R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sharedStrings.xml><?xml version="1.0" encoding="utf-8"?>
<sst xmlns="http://schemas.openxmlformats.org/spreadsheetml/2006/main" count="214" uniqueCount="118">
  <si>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</si>
  <si>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</si>
  <si>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</si>
  <si>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</si>
  <si>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</si>
  <si>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</si>
  <si>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</si>
  <si>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</si>
  <si>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</si>
  <si>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</si>
  <si>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</si>
  <si>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</si>
  <si>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</si>
  <si>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</si>
  <si>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</si>
  <si>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</si>
  <si>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</si>
  <si>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</si>
  <si>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</si>
  <si>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</si>
  <si>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</si>
  <si>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</si>
  <si>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</si>
  <si>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</si>
  <si>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</si>
  <si>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</si>
  <si>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</si>
  <si>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</si>
  <si>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</si>
  <si>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</si>
  <si>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</si>
  <si>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</si>
  <si>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</si>
  <si>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</si>
  <si>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</si>
  <si>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</si>
  <si>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</si>
  <si>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</si>
  <si>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</si>
  <si>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</si>
  <si>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</si>
  <si>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</si>
  <si>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</si>
  <si>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</si>
  <si>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</si>
  <si>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</si>
  <si>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</si>
  <si>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</si>
  <si>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</si>
  <si>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</si>
  <si>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</si>
  <si>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</si>
  <si>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</si>
  <si>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</si>
  <si>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</si>
  <si>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</si>
  <si>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</si>
  <si>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</si>
  <si>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</si>
  <si>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</si>
  <si>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</si>
  <si>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</si>
  <si>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</si>
  <si>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</si>
  <si>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</si>
  <si>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</si>
  <si>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</si>
  <si>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</si>
  <si>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</si>
  <si>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</si>
  <si>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</si>
  <si>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</si>
  <si>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</si>
  <si>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</si>
  <si>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</si>
  <si>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</si>
  <si>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</si>
  <si>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</si>
  <si>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</si>
  <si>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</si>
  <si>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</si>
  <si>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</si>
  <si>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</si>
  <si>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</si>
  <si>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</si>
  <si>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</si>
  <si>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</si>
  <si>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</si>
  <si>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</si>
  <si>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</si>
  <si>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</si>
  <si>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</si>
  <si>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</si>
  <si>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</si>
  <si>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</si>
  <si>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</si>
  <si>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</si>
  <si>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</si>
  <si>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</si>
  <si>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</si>
  <si>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</si>
  <si>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HIV_diag_tot</t>
  </si>
  <si>
    <t>HIV_diag_aus</t>
  </si>
  <si>
    <t>HIV_diag_int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</si>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</sst>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92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1" fontId="8" fillId="4" borderId="26" xfId="0" applyNumberFormat="1" applyFont="1" applyFill="1" applyBorder="1" applyAlignment="1">
      <alignment horizontal="right" vertical="center"/>
    </xf>
    <xf numFmtId="1" fontId="8" fillId="4" borderId="27" xfId="0" applyNumberFormat="1" applyFont="1" applyFill="1" applyBorder="1" applyAlignment="1">
      <alignment horizontal="right" vertical="center"/>
    </xf>
    <xf numFmtId="1" fontId="8" fillId="4" borderId="28" xfId="0" applyNumberFormat="1" applyFont="1" applyFill="1" applyBorder="1" applyAlignment="1">
      <alignment horizontal="right" vertical="center"/>
    </xf>
    <xf numFmtId="1" fontId="8" fillId="0" borderId="26" xfId="0" applyNumberFormat="1" applyFont="1" applyBorder="1" applyAlignment="1">
      <alignment horizontal="right" vertical="center"/>
    </xf>
    <xf numFmtId="1" fontId="8" fillId="0" borderId="28" xfId="0" applyNumberFormat="1" applyFont="1" applyBorder="1" applyAlignment="1">
      <alignment horizontal="right" vertical="center"/>
    </xf>
    <xf numFmtId="0" fontId="8" fillId="2" borderId="26" xfId="0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0" xfId="0" applyAlignment="1">
      <alignment horizontal="left" vertical="top" wrapText="1"/>
    </xf>
    <xf numFmtId="0" fontId="0" fillId="3" borderId="34" xfId="0" applyFill="1" applyBorder="1"/>
    <xf numFmtId="0" fontId="0" fillId="3" borderId="40" xfId="0" applyFill="1" applyBorder="1"/>
    <xf numFmtId="0" fontId="19" fillId="3" borderId="41" xfId="0" applyFont="1" applyFill="1" applyBorder="1"/>
    <xf numFmtId="0" fontId="19" fillId="3" borderId="42" xfId="0" applyFont="1" applyFill="1" applyBorder="1"/>
    <xf numFmtId="0" fontId="19" fillId="3" borderId="43" xfId="0" applyFont="1" applyFill="1" applyBorder="1"/>
    <xf numFmtId="0" fontId="19" fillId="3" borderId="38" xfId="0" applyFont="1" applyFill="1" applyBorder="1"/>
    <xf numFmtId="0" fontId="19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>
        <f>((data!B12/data!B2) ^ (C2/((data!A12-data!A2))) - 1)</f>
        <v>4.0741237836483535E-3</v>
      </c>
      <c r="J7" s="43">
        <f>(data!B7-data!B2)/(data!A7-data!A2)/data!B2*C2</f>
        <v>4.6046927083333352E-3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109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zoomScaleNormal="100" workbookViewId="0">
      <pane xSplit="1" topLeftCell="B1" activePane="topRight" state="frozen"/>
      <selection pane="topRight" activeCell="L24" sqref="L24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2.42578125" style="15" bestFit="1" customWidth="1"/>
    <col min="6" max="6" width="12.85546875" style="15" bestFit="1" customWidth="1"/>
    <col min="7" max="7" width="12.28515625" bestFit="1" customWidth="1"/>
    <col min="8" max="8" width="11" bestFit="1" customWidth="1"/>
    <col min="9" max="10" width="11" style="43" customWidth="1"/>
    <col min="11" max="11" width="19.7109375" bestFit="1" customWidth="1"/>
    <col min="12" max="12" width="10.28515625" style="43" customWidth="1"/>
    <col min="13" max="13" width="17.28515625" customWidth="1"/>
    <col min="14" max="14" width="14.28515625" bestFit="1" customWidth="1"/>
    <col min="15" max="15" width="9.7109375" bestFit="1" customWidth="1"/>
    <col min="16" max="16" width="10" bestFit="1" customWidth="1"/>
    <col min="17" max="17" width="14.85546875" bestFit="1" customWidth="1"/>
    <col min="18" max="18" width="15.140625" bestFit="1" customWidth="1"/>
    <col min="19" max="19" width="19.85546875" bestFit="1" customWidth="1"/>
    <col min="20" max="20" width="7" bestFit="1" customWidth="1"/>
    <col min="21" max="21" width="14.28515625" bestFit="1" customWidth="1"/>
    <col min="22" max="22" width="14.7109375" bestFit="1" customWidth="1"/>
    <col min="23" max="23" width="36.85546875" bestFit="1" customWidth="1"/>
    <col min="24" max="24" width="19.140625" bestFit="1" customWidth="1"/>
    <col min="25" max="25" width="19.42578125" bestFit="1" customWidth="1"/>
    <col min="26" max="26" width="62.28515625" bestFit="1" customWidth="1"/>
    <col min="27" max="27" width="17.42578125" bestFit="1" customWidth="1"/>
  </cols>
  <sheetData>
    <row r="1" spans="1:27" s="127" customFormat="1" x14ac:dyDescent="0.25">
      <c r="A1" s="117" t="s">
        <v>21</v>
      </c>
      <c r="B1" s="118" t="s">
        <v>105</v>
      </c>
      <c r="C1" s="119" t="s">
        <v>106</v>
      </c>
      <c r="D1" s="120" t="s">
        <v>107</v>
      </c>
      <c r="E1" s="121" t="s">
        <v>101</v>
      </c>
      <c r="F1" s="122" t="s">
        <v>102</v>
      </c>
      <c r="G1" s="120" t="s">
        <v>103</v>
      </c>
      <c r="H1" s="118" t="s">
        <v>100</v>
      </c>
      <c r="I1" s="119" t="s">
        <v>104</v>
      </c>
      <c r="J1" s="120" t="s">
        <v>99</v>
      </c>
      <c r="K1" s="158" t="s">
        <v>108</v>
      </c>
      <c r="L1" s="123"/>
      <c r="M1" s="124" t="s">
        <v>59</v>
      </c>
      <c r="N1" s="124" t="s">
        <v>50</v>
      </c>
      <c r="O1" s="124" t="s">
        <v>51</v>
      </c>
      <c r="P1" s="124" t="s">
        <v>52</v>
      </c>
      <c r="Q1" s="124" t="s">
        <v>53</v>
      </c>
      <c r="R1" s="124" t="s">
        <v>54</v>
      </c>
      <c r="S1" s="124" t="s">
        <v>56</v>
      </c>
      <c r="T1" s="124" t="s">
        <v>31</v>
      </c>
      <c r="U1" s="124" t="s">
        <v>32</v>
      </c>
      <c r="V1" s="124" t="s">
        <v>55</v>
      </c>
      <c r="W1" s="124" t="s">
        <v>48</v>
      </c>
      <c r="X1" s="124" t="s">
        <v>57</v>
      </c>
      <c r="Y1" s="124" t="s">
        <v>58</v>
      </c>
      <c r="Z1" s="125" t="s">
        <v>49</v>
      </c>
      <c r="AA1" s="126"/>
    </row>
    <row r="2" spans="1:27" x14ac:dyDescent="0.25">
      <c r="A2" s="10">
        <v>2007</v>
      </c>
      <c r="B2" s="103">
        <v>42714</v>
      </c>
      <c r="C2" s="104">
        <f>B2-D2</f>
        <v>38830.909090909088</v>
      </c>
      <c r="D2" s="105">
        <f>B2/11</f>
        <v>3883.090909090909</v>
      </c>
      <c r="E2" s="109"/>
      <c r="F2" s="110"/>
      <c r="G2" s="112"/>
      <c r="H2" s="103">
        <f>B2*7.2/100</f>
        <v>3075.4079999999999</v>
      </c>
      <c r="I2" s="104"/>
      <c r="J2" s="105"/>
      <c r="K2" s="159">
        <v>0.7</v>
      </c>
      <c r="L2" s="96"/>
      <c r="M2" s="40">
        <v>2.32876712328767E-2</v>
      </c>
      <c r="N2" s="40">
        <v>3.4931506849315071E-2</v>
      </c>
      <c r="O2" s="28">
        <f>B2-P2</f>
        <v>39638.591999999997</v>
      </c>
      <c r="P2" s="28">
        <f t="shared" ref="P2:P12" si="0">H2</f>
        <v>3075.4079999999999</v>
      </c>
      <c r="Q2" s="33">
        <f>ROUND(M2*O2,0)</f>
        <v>923</v>
      </c>
      <c r="R2" s="33">
        <f t="shared" ref="R2" si="1">ROUND(N2*P2,0)</f>
        <v>107</v>
      </c>
      <c r="S2" s="11">
        <v>1007</v>
      </c>
      <c r="T2" s="37">
        <v>0.81</v>
      </c>
      <c r="U2" s="37">
        <v>0.82</v>
      </c>
      <c r="V2" s="38">
        <f>S2*T2*U2</f>
        <v>668.84940000000006</v>
      </c>
      <c r="W2" s="34">
        <v>0.17</v>
      </c>
      <c r="X2" s="36">
        <f>V2-Y2</f>
        <v>555.14500200000009</v>
      </c>
      <c r="Y2" s="36">
        <f>V2*W2</f>
        <v>113.70439800000001</v>
      </c>
      <c r="Z2" s="13"/>
      <c r="AA2" s="13"/>
    </row>
    <row r="3" spans="1:27" x14ac:dyDescent="0.25">
      <c r="A3" s="10">
        <v>2008</v>
      </c>
      <c r="B3" s="103">
        <f>SUM(C3:D3)</f>
        <v>44849.7</v>
      </c>
      <c r="C3" s="104">
        <f>1.05*C2</f>
        <v>40772.454545454544</v>
      </c>
      <c r="D3" s="105">
        <f>D2*1.05</f>
        <v>4077.2454545454548</v>
      </c>
      <c r="E3" s="116"/>
      <c r="F3" s="110"/>
      <c r="G3" s="112"/>
      <c r="H3" s="103">
        <f>B3*7.2/100</f>
        <v>3229.1783999999998</v>
      </c>
      <c r="I3" s="104"/>
      <c r="J3" s="105"/>
      <c r="K3" s="160"/>
      <c r="L3" s="97"/>
      <c r="M3" s="40"/>
      <c r="N3" s="40"/>
      <c r="O3" s="28">
        <f>B3-P3</f>
        <v>41620.5216</v>
      </c>
      <c r="P3" s="28">
        <f t="shared" si="0"/>
        <v>3229.1783999999998</v>
      </c>
      <c r="Q3" s="12"/>
      <c r="R3" s="12"/>
      <c r="S3" s="11">
        <v>922</v>
      </c>
      <c r="T3" s="37">
        <v>0.81</v>
      </c>
      <c r="U3" s="37">
        <v>0.82</v>
      </c>
      <c r="V3" s="38">
        <f t="shared" ref="V3:V12" si="2">S3*T3*U3</f>
        <v>612.39239999999995</v>
      </c>
      <c r="W3" s="34">
        <v>0.17</v>
      </c>
      <c r="X3" s="36">
        <f t="shared" ref="X3:X12" si="3">V3-Y3</f>
        <v>508.28569199999993</v>
      </c>
      <c r="Y3" s="36">
        <f t="shared" ref="Y3:Y12" si="4">V3*W3</f>
        <v>104.106708</v>
      </c>
      <c r="Z3" s="13"/>
      <c r="AA3" s="13"/>
    </row>
    <row r="4" spans="1:27" x14ac:dyDescent="0.25">
      <c r="A4" s="10">
        <v>2009</v>
      </c>
      <c r="B4" s="103">
        <f t="shared" ref="B4:B12" si="5">SUM(C4:D4)</f>
        <v>47092.184999999998</v>
      </c>
      <c r="C4" s="104">
        <f t="shared" ref="C4:C11" si="6">1.05*C3</f>
        <v>42811.077272727271</v>
      </c>
      <c r="D4" s="105">
        <f t="shared" ref="D4:D12" si="7">D3*1.05</f>
        <v>4281.107727272728</v>
      </c>
      <c r="E4" s="116"/>
      <c r="F4" s="110"/>
      <c r="G4" s="112"/>
      <c r="H4" s="103">
        <f>B4*7.2/100</f>
        <v>3390.6373200000003</v>
      </c>
      <c r="I4" s="104"/>
      <c r="J4" s="105"/>
      <c r="K4" s="160"/>
      <c r="L4" s="97"/>
      <c r="M4" s="40"/>
      <c r="N4" s="40"/>
      <c r="O4" s="28">
        <f>B4-P4</f>
        <v>43701.547679999996</v>
      </c>
      <c r="P4" s="28">
        <f t="shared" si="0"/>
        <v>3390.6373200000003</v>
      </c>
      <c r="Q4" s="12"/>
      <c r="R4" s="12"/>
      <c r="S4" s="11">
        <v>1480</v>
      </c>
      <c r="T4" s="37">
        <v>0.81</v>
      </c>
      <c r="U4" s="37">
        <v>0.82</v>
      </c>
      <c r="V4" s="38">
        <f t="shared" si="2"/>
        <v>983.01600000000008</v>
      </c>
      <c r="W4" s="34">
        <v>0.17</v>
      </c>
      <c r="X4" s="36">
        <f t="shared" si="3"/>
        <v>815.90328</v>
      </c>
      <c r="Y4" s="36">
        <f t="shared" si="4"/>
        <v>167.11272000000002</v>
      </c>
      <c r="Z4" s="14"/>
      <c r="AA4" s="14"/>
    </row>
    <row r="5" spans="1:27" x14ac:dyDescent="0.25">
      <c r="A5" s="10">
        <v>2010</v>
      </c>
      <c r="B5" s="103">
        <f t="shared" si="5"/>
        <v>49446.794249999999</v>
      </c>
      <c r="C5" s="104">
        <f t="shared" si="6"/>
        <v>44951.631136363634</v>
      </c>
      <c r="D5" s="105">
        <f t="shared" si="7"/>
        <v>4495.1631136363649</v>
      </c>
      <c r="E5" s="108">
        <v>178</v>
      </c>
      <c r="F5" s="110"/>
      <c r="G5" s="112"/>
      <c r="H5" s="103">
        <f>B5*7.2/100</f>
        <v>3560.1691859999996</v>
      </c>
      <c r="I5" s="104"/>
      <c r="J5" s="105"/>
      <c r="K5" s="159"/>
      <c r="L5" s="97"/>
      <c r="M5" s="40">
        <v>4.0273972602739724E-2</v>
      </c>
      <c r="N5" s="40">
        <v>4.3150684931506846E-2</v>
      </c>
      <c r="O5" s="28">
        <f>B5-P5</f>
        <v>45886.625064</v>
      </c>
      <c r="P5" s="28">
        <f t="shared" si="0"/>
        <v>3560.1691859999996</v>
      </c>
      <c r="Q5" s="32">
        <f t="shared" ref="Q5:Q11" si="8">ROUND(M5*O5,0)</f>
        <v>1848</v>
      </c>
      <c r="R5" s="32">
        <f t="shared" ref="R5:R12" si="9">ROUND(N5*P5,0)</f>
        <v>154</v>
      </c>
      <c r="S5" s="11">
        <v>1758</v>
      </c>
      <c r="T5" s="37">
        <v>0.81</v>
      </c>
      <c r="U5" s="37">
        <v>0.82</v>
      </c>
      <c r="V5" s="38">
        <f t="shared" si="2"/>
        <v>1167.6635999999999</v>
      </c>
      <c r="W5" s="34">
        <v>0.17</v>
      </c>
      <c r="X5" s="36">
        <f t="shared" si="3"/>
        <v>969.16078799999991</v>
      </c>
      <c r="Y5" s="36">
        <f t="shared" si="4"/>
        <v>198.50281199999998</v>
      </c>
      <c r="Z5" s="14"/>
      <c r="AA5" s="14"/>
    </row>
    <row r="6" spans="1:27" x14ac:dyDescent="0.25">
      <c r="A6" s="10">
        <v>2011</v>
      </c>
      <c r="B6" s="103">
        <f t="shared" si="5"/>
        <v>51919.133962500004</v>
      </c>
      <c r="C6" s="104">
        <f t="shared" si="6"/>
        <v>47199.21269318182</v>
      </c>
      <c r="D6" s="105">
        <f t="shared" si="7"/>
        <v>4719.9212693181835</v>
      </c>
      <c r="E6" s="108">
        <v>218</v>
      </c>
      <c r="F6" s="110"/>
      <c r="G6" s="112"/>
      <c r="H6" s="103">
        <f>B6*7.2/100</f>
        <v>3738.1776453000002</v>
      </c>
      <c r="I6" s="104"/>
      <c r="J6" s="105"/>
      <c r="K6" s="160"/>
      <c r="L6" s="97"/>
      <c r="M6" s="40">
        <v>3.7534246575342468E-2</v>
      </c>
      <c r="N6" s="40">
        <v>4.726027397260274E-2</v>
      </c>
      <c r="O6" s="28">
        <f>B6-P6</f>
        <v>48180.956317200005</v>
      </c>
      <c r="P6" s="28">
        <f t="shared" si="0"/>
        <v>3738.1776453000002</v>
      </c>
      <c r="Q6" s="32">
        <f t="shared" si="8"/>
        <v>1808</v>
      </c>
      <c r="R6" s="32">
        <f t="shared" si="9"/>
        <v>177</v>
      </c>
      <c r="S6" s="11">
        <v>1863</v>
      </c>
      <c r="T6" s="37">
        <v>0.81</v>
      </c>
      <c r="U6" s="37">
        <v>0.82</v>
      </c>
      <c r="V6" s="38">
        <f t="shared" si="2"/>
        <v>1237.4046000000001</v>
      </c>
      <c r="W6" s="34">
        <v>0.17</v>
      </c>
      <c r="X6" s="36">
        <f t="shared" si="3"/>
        <v>1027.0458180000001</v>
      </c>
      <c r="Y6" s="36">
        <f t="shared" si="4"/>
        <v>210.35878200000002</v>
      </c>
      <c r="Z6" s="14"/>
      <c r="AA6" s="14"/>
    </row>
    <row r="7" spans="1:27" x14ac:dyDescent="0.25">
      <c r="A7" s="10">
        <v>2012</v>
      </c>
      <c r="B7" s="103">
        <f t="shared" si="5"/>
        <v>54515.090660625006</v>
      </c>
      <c r="C7" s="104">
        <f t="shared" si="6"/>
        <v>49559.173327840916</v>
      </c>
      <c r="D7" s="105">
        <f t="shared" si="7"/>
        <v>4955.9173327840927</v>
      </c>
      <c r="E7" s="108">
        <v>200</v>
      </c>
      <c r="F7" s="110"/>
      <c r="G7" s="112"/>
      <c r="H7" s="103">
        <f>B7*7.2/100</f>
        <v>3925.0865275650008</v>
      </c>
      <c r="I7" s="104"/>
      <c r="J7" s="105"/>
      <c r="K7" s="159">
        <v>0.91200000000000003</v>
      </c>
      <c r="L7" s="97"/>
      <c r="M7" s="40">
        <v>4.876712328767123E-2</v>
      </c>
      <c r="N7" s="40">
        <v>5.3835616438356167E-2</v>
      </c>
      <c r="O7" s="28">
        <f>B7-P7</f>
        <v>50590.004133060007</v>
      </c>
      <c r="P7" s="28">
        <f t="shared" si="0"/>
        <v>3925.0865275650008</v>
      </c>
      <c r="Q7" s="32">
        <f t="shared" si="8"/>
        <v>2467</v>
      </c>
      <c r="R7" s="32">
        <f t="shared" si="9"/>
        <v>211</v>
      </c>
      <c r="S7" s="11">
        <v>2436</v>
      </c>
      <c r="T7" s="37">
        <v>0.81</v>
      </c>
      <c r="U7" s="37">
        <v>0.82</v>
      </c>
      <c r="V7" s="38">
        <f t="shared" si="2"/>
        <v>1617.9911999999999</v>
      </c>
      <c r="W7" s="34">
        <v>0.17</v>
      </c>
      <c r="X7" s="36">
        <f t="shared" si="3"/>
        <v>1342.9326959999999</v>
      </c>
      <c r="Y7" s="36">
        <f t="shared" si="4"/>
        <v>275.05850400000003</v>
      </c>
      <c r="Z7" s="14"/>
      <c r="AA7" s="14"/>
    </row>
    <row r="8" spans="1:27" x14ac:dyDescent="0.25">
      <c r="A8" s="10">
        <v>2013</v>
      </c>
      <c r="B8" s="103">
        <f t="shared" si="5"/>
        <v>57240.845193656263</v>
      </c>
      <c r="C8" s="104">
        <f t="shared" si="6"/>
        <v>52037.131994232965</v>
      </c>
      <c r="D8" s="105">
        <f t="shared" si="7"/>
        <v>5203.7131994232977</v>
      </c>
      <c r="E8" s="108">
        <v>218</v>
      </c>
      <c r="F8" s="110"/>
      <c r="G8" s="112"/>
      <c r="H8" s="103">
        <f>B8*7.2/100</f>
        <v>4121.3408539432512</v>
      </c>
      <c r="I8" s="104"/>
      <c r="J8" s="105"/>
      <c r="K8" s="159"/>
      <c r="L8" s="97"/>
      <c r="M8" s="40">
        <v>5.2876712328767124E-2</v>
      </c>
      <c r="N8" s="40">
        <v>6.2671232876712321E-2</v>
      </c>
      <c r="O8" s="28">
        <f>B8-P8</f>
        <v>53119.504339713014</v>
      </c>
      <c r="P8" s="28">
        <f t="shared" si="0"/>
        <v>4121.3408539432512</v>
      </c>
      <c r="Q8" s="32">
        <f t="shared" si="8"/>
        <v>2809</v>
      </c>
      <c r="R8" s="32">
        <f t="shared" si="9"/>
        <v>258</v>
      </c>
      <c r="S8" s="11">
        <v>2978</v>
      </c>
      <c r="T8" s="37">
        <v>0.81</v>
      </c>
      <c r="U8" s="37">
        <v>0.82</v>
      </c>
      <c r="V8" s="38">
        <f t="shared" si="2"/>
        <v>1977.9876000000002</v>
      </c>
      <c r="W8" s="34">
        <v>0.17</v>
      </c>
      <c r="X8" s="36">
        <f t="shared" si="3"/>
        <v>1641.7297080000001</v>
      </c>
      <c r="Y8" s="36">
        <f t="shared" si="4"/>
        <v>336.25789200000003</v>
      </c>
      <c r="Z8" s="14"/>
      <c r="AA8" s="14"/>
    </row>
    <row r="9" spans="1:27" x14ac:dyDescent="0.25">
      <c r="A9" s="10">
        <v>2014</v>
      </c>
      <c r="B9" s="103">
        <f t="shared" si="5"/>
        <v>60102.887453339077</v>
      </c>
      <c r="C9" s="104">
        <f t="shared" si="6"/>
        <v>54638.988593944618</v>
      </c>
      <c r="D9" s="105">
        <f t="shared" si="7"/>
        <v>5463.8988593944632</v>
      </c>
      <c r="E9" s="108">
        <v>219</v>
      </c>
      <c r="F9" s="110"/>
      <c r="G9" s="112"/>
      <c r="H9" s="103">
        <f>B9*7.2/100</f>
        <v>4327.407896640414</v>
      </c>
      <c r="I9" s="104"/>
      <c r="J9" s="105"/>
      <c r="K9" s="159">
        <v>0.88</v>
      </c>
      <c r="L9" s="97"/>
      <c r="M9" s="40">
        <v>5.1506849315068493E-2</v>
      </c>
      <c r="N9" s="40">
        <v>5.321917808219178E-2</v>
      </c>
      <c r="O9" s="28">
        <f>B9-P9</f>
        <v>55775.479556698665</v>
      </c>
      <c r="P9" s="28">
        <f t="shared" si="0"/>
        <v>4327.407896640414</v>
      </c>
      <c r="Q9" s="32">
        <f t="shared" si="8"/>
        <v>2873</v>
      </c>
      <c r="R9" s="32">
        <f t="shared" si="9"/>
        <v>230</v>
      </c>
      <c r="S9" s="11">
        <v>3269</v>
      </c>
      <c r="T9" s="37">
        <v>0.81</v>
      </c>
      <c r="U9" s="37">
        <v>0.82</v>
      </c>
      <c r="V9" s="38">
        <f t="shared" si="2"/>
        <v>2171.2698</v>
      </c>
      <c r="W9" s="34">
        <v>0.17</v>
      </c>
      <c r="X9" s="36">
        <f t="shared" si="3"/>
        <v>1802.1539339999999</v>
      </c>
      <c r="Y9" s="36">
        <f t="shared" si="4"/>
        <v>369.11586600000004</v>
      </c>
      <c r="Z9" s="14"/>
      <c r="AA9" s="14"/>
    </row>
    <row r="10" spans="1:27" x14ac:dyDescent="0.25">
      <c r="A10" s="10">
        <v>2015</v>
      </c>
      <c r="B10" s="103">
        <f t="shared" si="5"/>
        <v>63108.031826006038</v>
      </c>
      <c r="C10" s="104">
        <f t="shared" si="6"/>
        <v>57370.938023641851</v>
      </c>
      <c r="D10" s="105">
        <f t="shared" si="7"/>
        <v>5737.0938023641866</v>
      </c>
      <c r="E10" s="108">
        <v>206</v>
      </c>
      <c r="F10" s="110"/>
      <c r="G10" s="112"/>
      <c r="H10" s="103">
        <f>B10*7.2/100</f>
        <v>4543.7782914724348</v>
      </c>
      <c r="I10" s="104"/>
      <c r="J10" s="105"/>
      <c r="K10" s="159">
        <v>0.88</v>
      </c>
      <c r="L10" s="97"/>
      <c r="M10" s="40">
        <v>6.6575342465753418E-2</v>
      </c>
      <c r="N10" s="40">
        <v>6.7191780821917804E-2</v>
      </c>
      <c r="O10" s="28">
        <f>B10-P10</f>
        <v>58564.2535345336</v>
      </c>
      <c r="P10" s="28">
        <f t="shared" si="0"/>
        <v>4543.7782914724348</v>
      </c>
      <c r="Q10" s="32">
        <f t="shared" si="8"/>
        <v>3899</v>
      </c>
      <c r="R10" s="32">
        <f t="shared" si="9"/>
        <v>305</v>
      </c>
      <c r="S10" s="11">
        <v>4865</v>
      </c>
      <c r="T10" s="37">
        <v>0.81</v>
      </c>
      <c r="U10" s="37">
        <v>0.82</v>
      </c>
      <c r="V10" s="38">
        <f t="shared" si="2"/>
        <v>3231.3330000000001</v>
      </c>
      <c r="W10" s="35">
        <v>0.17</v>
      </c>
      <c r="X10" s="36">
        <f t="shared" si="3"/>
        <v>2682.00639</v>
      </c>
      <c r="Y10" s="36">
        <f t="shared" si="4"/>
        <v>549.32661000000007</v>
      </c>
      <c r="Z10" s="14"/>
      <c r="AA10" s="14"/>
    </row>
    <row r="11" spans="1:27" x14ac:dyDescent="0.25">
      <c r="A11" s="10">
        <v>2016</v>
      </c>
      <c r="B11" s="103">
        <f t="shared" si="5"/>
        <v>66263.43341730634</v>
      </c>
      <c r="C11" s="104">
        <f t="shared" si="6"/>
        <v>60239.484924823948</v>
      </c>
      <c r="D11" s="105">
        <f t="shared" si="7"/>
        <v>6023.9484924823964</v>
      </c>
      <c r="E11" s="108">
        <v>233</v>
      </c>
      <c r="F11" s="110"/>
      <c r="G11" s="112"/>
      <c r="H11" s="103">
        <f>B11*7.2/100</f>
        <v>4770.9672060460571</v>
      </c>
      <c r="I11" s="104"/>
      <c r="J11" s="105"/>
      <c r="K11" s="159">
        <v>0.89</v>
      </c>
      <c r="L11" s="97"/>
      <c r="M11" s="40">
        <v>6.3287671232876708E-2</v>
      </c>
      <c r="N11" s="40">
        <v>6.9246575342465755E-2</v>
      </c>
      <c r="O11" s="28">
        <f>B11-P11</f>
        <v>61492.466211260282</v>
      </c>
      <c r="P11" s="28">
        <f t="shared" si="0"/>
        <v>4770.9672060460571</v>
      </c>
      <c r="Q11" s="32">
        <f t="shared" si="8"/>
        <v>3892</v>
      </c>
      <c r="R11" s="32">
        <f t="shared" si="9"/>
        <v>330</v>
      </c>
      <c r="S11" s="11">
        <v>6265</v>
      </c>
      <c r="T11" s="37">
        <v>0.81</v>
      </c>
      <c r="U11" s="37">
        <v>0.82</v>
      </c>
      <c r="V11" s="38">
        <f t="shared" si="2"/>
        <v>4161.2130000000006</v>
      </c>
      <c r="W11" s="35">
        <v>0.13</v>
      </c>
      <c r="X11" s="36">
        <f t="shared" si="3"/>
        <v>3620.2553100000005</v>
      </c>
      <c r="Y11" s="36">
        <f t="shared" si="4"/>
        <v>540.95769000000007</v>
      </c>
      <c r="Z11" s="42">
        <v>0.18</v>
      </c>
    </row>
    <row r="12" spans="1:27" x14ac:dyDescent="0.25">
      <c r="A12" s="10">
        <v>2017</v>
      </c>
      <c r="B12" s="103">
        <f t="shared" si="5"/>
        <v>69576.605088171666</v>
      </c>
      <c r="C12" s="104">
        <f>1.05*C11</f>
        <v>63251.459171065151</v>
      </c>
      <c r="D12" s="105">
        <f t="shared" si="7"/>
        <v>6325.1459171065162</v>
      </c>
      <c r="E12" s="108">
        <v>194</v>
      </c>
      <c r="F12" s="110"/>
      <c r="G12" s="112"/>
      <c r="H12" s="103">
        <f>B12*7.2/100</f>
        <v>5009.5155663483602</v>
      </c>
      <c r="I12" s="104"/>
      <c r="J12" s="105"/>
      <c r="K12" s="160">
        <v>0.9</v>
      </c>
      <c r="L12" s="97"/>
      <c r="M12" s="40" t="e">
        <f>0.01*(#REF!*#REF!+#REF!*#REF!)/(#REF!+#REF!)</f>
        <v>#REF!</v>
      </c>
      <c r="N12" s="40">
        <v>4.6699999999999998E-2</v>
      </c>
      <c r="O12" s="28">
        <f>B12-P12</f>
        <v>64567.089521823305</v>
      </c>
      <c r="P12" s="28">
        <f t="shared" si="0"/>
        <v>5009.5155663483602</v>
      </c>
      <c r="Q12" s="12"/>
      <c r="R12" s="32">
        <f t="shared" si="9"/>
        <v>234</v>
      </c>
      <c r="S12" s="11">
        <v>7289</v>
      </c>
      <c r="T12" s="37">
        <v>0.81</v>
      </c>
      <c r="U12" s="37">
        <v>0.7</v>
      </c>
      <c r="V12" s="38">
        <f t="shared" si="2"/>
        <v>4132.8630000000003</v>
      </c>
      <c r="W12" s="34">
        <v>0.1</v>
      </c>
      <c r="X12" s="36">
        <f t="shared" si="3"/>
        <v>3719.5767000000001</v>
      </c>
      <c r="Y12" s="36">
        <f t="shared" si="4"/>
        <v>413.28630000000004</v>
      </c>
    </row>
    <row r="13" spans="1:27" x14ac:dyDescent="0.25">
      <c r="A13" s="10">
        <v>2018</v>
      </c>
      <c r="B13" s="106"/>
      <c r="C13" s="114"/>
      <c r="D13" s="107"/>
      <c r="E13" s="109"/>
      <c r="F13" s="110"/>
      <c r="G13" s="111"/>
      <c r="H13" s="113"/>
      <c r="I13" s="114"/>
      <c r="J13" s="115"/>
      <c r="K13" s="159">
        <v>0.9</v>
      </c>
      <c r="L13" s="132"/>
    </row>
    <row r="14" spans="1:27" s="16" customFormat="1" x14ac:dyDescent="0.25">
      <c r="A14" s="129">
        <v>2019</v>
      </c>
      <c r="B14" s="113"/>
      <c r="C14" s="114"/>
      <c r="D14" s="115"/>
      <c r="E14" s="128"/>
      <c r="F14" s="130"/>
      <c r="G14" s="131"/>
      <c r="H14" s="113"/>
      <c r="I14" s="114"/>
      <c r="J14" s="115"/>
      <c r="K14" s="161"/>
      <c r="L14" s="132"/>
    </row>
    <row r="15" spans="1:27" x14ac:dyDescent="0.25">
      <c r="G15" s="10"/>
      <c r="O15" s="133"/>
    </row>
    <row r="16" spans="1:27" x14ac:dyDescent="0.25">
      <c r="B16" s="10"/>
      <c r="C16" s="10"/>
      <c r="D16" s="10"/>
      <c r="G16" s="10"/>
      <c r="L16" s="10"/>
    </row>
    <row r="17" spans="2:12" x14ac:dyDescent="0.25">
      <c r="B17" s="10"/>
      <c r="C17" s="10"/>
      <c r="D17" s="10"/>
      <c r="G17" s="10"/>
      <c r="L17" s="10"/>
    </row>
    <row r="18" spans="2:12" x14ac:dyDescent="0.25">
      <c r="B18" s="10"/>
      <c r="C18" s="10"/>
      <c r="D18" s="10"/>
      <c r="G18" s="10"/>
      <c r="L18" s="10"/>
    </row>
    <row r="19" spans="2:12" x14ac:dyDescent="0.25">
      <c r="B19" s="10"/>
      <c r="C19" s="10"/>
      <c r="D19" s="10"/>
      <c r="G19" s="10"/>
      <c r="L19" s="10"/>
    </row>
    <row r="20" spans="2:12" x14ac:dyDescent="0.25">
      <c r="B20" s="10"/>
      <c r="C20" s="10"/>
      <c r="D20" s="10"/>
      <c r="G20" s="10"/>
      <c r="L20" s="10"/>
    </row>
    <row r="21" spans="2:12" x14ac:dyDescent="0.25">
      <c r="B21" s="10"/>
      <c r="C21" s="10"/>
      <c r="D21" s="10"/>
      <c r="G21" s="10"/>
      <c r="L21" s="10"/>
    </row>
    <row r="22" spans="2:12" x14ac:dyDescent="0.25">
      <c r="B22" s="10"/>
      <c r="C22" s="10"/>
      <c r="D22" s="10"/>
      <c r="L22" s="10"/>
    </row>
    <row r="23" spans="2:12" x14ac:dyDescent="0.25">
      <c r="B23" s="10"/>
      <c r="C23" s="10"/>
      <c r="D23" s="10"/>
      <c r="L23" s="10"/>
    </row>
    <row r="24" spans="2:12" x14ac:dyDescent="0.25">
      <c r="B24" s="10"/>
      <c r="C24" s="10"/>
      <c r="D24" s="10"/>
      <c r="L24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H18" sqref="H18"/>
    </sheetView>
  </sheetViews>
  <sheetFormatPr defaultRowHeight="15" x14ac:dyDescent="0.25"/>
  <sheetData>
    <row r="1" spans="1:16" ht="15.75" thickBot="1" x14ac:dyDescent="0.3">
      <c r="A1" s="134"/>
      <c r="B1" s="135" t="s">
        <v>110</v>
      </c>
      <c r="C1" s="136" t="s">
        <v>111</v>
      </c>
      <c r="D1" s="136" t="s">
        <v>112</v>
      </c>
      <c r="E1" s="151" t="s">
        <v>113</v>
      </c>
      <c r="F1" s="136" t="s">
        <v>114</v>
      </c>
      <c r="G1" s="137" t="s">
        <v>115</v>
      </c>
    </row>
    <row r="2" spans="1:16" ht="15" customHeight="1" x14ac:dyDescent="0.25">
      <c r="A2" s="138" t="s">
        <v>110</v>
      </c>
      <c r="B2" s="139">
        <v>1</v>
      </c>
      <c r="C2" s="140">
        <v>1</v>
      </c>
      <c r="D2" s="140">
        <v>1</v>
      </c>
      <c r="E2" s="156">
        <v>1</v>
      </c>
      <c r="F2" s="140">
        <v>1</v>
      </c>
      <c r="G2" s="141">
        <v>1</v>
      </c>
      <c r="I2" s="150" t="s">
        <v>116</v>
      </c>
      <c r="J2" s="150"/>
      <c r="K2" s="150"/>
      <c r="L2" s="150"/>
      <c r="M2" s="150"/>
      <c r="N2" s="150"/>
      <c r="O2" s="150"/>
      <c r="P2" s="150"/>
    </row>
    <row r="3" spans="1:16" x14ac:dyDescent="0.25">
      <c r="A3" s="142" t="s">
        <v>111</v>
      </c>
      <c r="B3" s="143">
        <v>1</v>
      </c>
      <c r="C3" s="144">
        <v>1</v>
      </c>
      <c r="D3" s="144">
        <v>1</v>
      </c>
      <c r="E3" s="154">
        <v>1</v>
      </c>
      <c r="F3" s="144">
        <v>1</v>
      </c>
      <c r="G3" s="145">
        <v>1</v>
      </c>
      <c r="I3" s="150"/>
      <c r="J3" s="150"/>
      <c r="K3" s="150"/>
      <c r="L3" s="150"/>
      <c r="M3" s="150"/>
      <c r="N3" s="150"/>
      <c r="O3" s="150"/>
      <c r="P3" s="150"/>
    </row>
    <row r="4" spans="1:16" x14ac:dyDescent="0.25">
      <c r="A4" s="142" t="s">
        <v>112</v>
      </c>
      <c r="B4" s="143">
        <v>1</v>
      </c>
      <c r="C4" s="144">
        <v>1</v>
      </c>
      <c r="D4" s="144">
        <v>1</v>
      </c>
      <c r="E4" s="154">
        <v>1</v>
      </c>
      <c r="F4" s="144">
        <v>1</v>
      </c>
      <c r="G4" s="145">
        <v>1</v>
      </c>
      <c r="I4" s="150"/>
      <c r="J4" s="150"/>
      <c r="K4" s="150"/>
      <c r="L4" s="150"/>
      <c r="M4" s="150"/>
      <c r="N4" s="150"/>
      <c r="O4" s="150"/>
      <c r="P4" s="150"/>
    </row>
    <row r="5" spans="1:16" x14ac:dyDescent="0.25">
      <c r="A5" s="152" t="s">
        <v>113</v>
      </c>
      <c r="B5" s="153">
        <v>1</v>
      </c>
      <c r="C5" s="154">
        <v>1</v>
      </c>
      <c r="D5" s="154">
        <v>1</v>
      </c>
      <c r="E5" s="154">
        <v>1</v>
      </c>
      <c r="F5" s="154">
        <v>1</v>
      </c>
      <c r="G5" s="155">
        <v>1</v>
      </c>
      <c r="I5" s="150"/>
      <c r="J5" s="150"/>
      <c r="K5" s="150"/>
      <c r="L5" s="150"/>
      <c r="M5" s="150"/>
      <c r="N5" s="150"/>
      <c r="O5" s="150"/>
      <c r="P5" s="150"/>
    </row>
    <row r="6" spans="1:16" x14ac:dyDescent="0.25">
      <c r="A6" s="142" t="s">
        <v>114</v>
      </c>
      <c r="B6" s="143">
        <v>1</v>
      </c>
      <c r="C6" s="144">
        <v>1</v>
      </c>
      <c r="D6" s="144">
        <v>1</v>
      </c>
      <c r="E6" s="154">
        <v>1</v>
      </c>
      <c r="F6" s="144">
        <v>1</v>
      </c>
      <c r="G6" s="145">
        <v>1</v>
      </c>
    </row>
    <row r="7" spans="1:16" ht="15.75" thickBot="1" x14ac:dyDescent="0.3">
      <c r="A7" s="146" t="s">
        <v>115</v>
      </c>
      <c r="B7" s="147">
        <v>1</v>
      </c>
      <c r="C7" s="148">
        <v>1</v>
      </c>
      <c r="D7" s="148">
        <v>1</v>
      </c>
      <c r="E7" s="157">
        <v>1</v>
      </c>
      <c r="F7" s="148">
        <v>1</v>
      </c>
      <c r="G7" s="149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tabSelected="1" zoomScale="70" zoomScaleNormal="70" workbookViewId="0">
      <selection activeCell="H12" sqref="H12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2" t="s">
        <v>69</v>
      </c>
      <c r="I1" s="173" t="s">
        <v>69</v>
      </c>
      <c r="J1" s="172" t="s">
        <v>69</v>
      </c>
      <c r="K1" s="17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82" t="s">
        <v>92</v>
      </c>
      <c r="U1" s="18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62" t="s">
        <v>75</v>
      </c>
      <c r="AA1" s="16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4" t="s">
        <v>70</v>
      </c>
      <c r="I2" s="175" t="s">
        <v>71</v>
      </c>
      <c r="J2" s="174" t="s">
        <v>71</v>
      </c>
      <c r="K2" s="17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84" t="s">
        <v>72</v>
      </c>
      <c r="U2" s="18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64" t="s">
        <v>72</v>
      </c>
      <c r="AA2" s="16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4" t="s">
        <v>74</v>
      </c>
      <c r="I3" s="175" t="s">
        <v>73</v>
      </c>
      <c r="J3" s="174" t="s">
        <v>74</v>
      </c>
      <c r="K3" s="17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84" t="s">
        <v>97</v>
      </c>
      <c r="U3" s="18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64" t="s">
        <v>97</v>
      </c>
      <c r="AA3" s="16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76">
        <v>10</v>
      </c>
      <c r="I4" s="177">
        <v>0.5</v>
      </c>
      <c r="J4" s="176">
        <v>4</v>
      </c>
      <c r="K4" s="17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86">
        <v>0.03</v>
      </c>
      <c r="U4" s="187">
        <v>1</v>
      </c>
      <c r="V4" s="88">
        <v>1</v>
      </c>
      <c r="W4" s="89">
        <v>0.03</v>
      </c>
      <c r="X4" s="87">
        <v>1</v>
      </c>
      <c r="Y4" s="88">
        <v>0</v>
      </c>
      <c r="Z4" s="166">
        <v>0</v>
      </c>
      <c r="AA4" s="16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78"/>
      <c r="I5" s="179"/>
      <c r="J5" s="178"/>
      <c r="K5" s="179"/>
      <c r="L5" s="77"/>
      <c r="M5" s="76"/>
      <c r="N5" s="77"/>
      <c r="O5" s="75"/>
      <c r="P5" s="76"/>
      <c r="Q5" s="77"/>
      <c r="R5" s="90"/>
      <c r="S5" s="91"/>
      <c r="T5" s="188"/>
      <c r="U5" s="189"/>
      <c r="V5" s="91"/>
      <c r="W5" s="92"/>
      <c r="X5" s="90"/>
      <c r="Y5" s="91"/>
      <c r="Z5" s="168"/>
      <c r="AA5" s="16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78"/>
      <c r="I6" s="179"/>
      <c r="J6" s="178"/>
      <c r="K6" s="179"/>
      <c r="L6" s="77"/>
      <c r="M6" s="76"/>
      <c r="N6" s="77"/>
      <c r="O6" s="75"/>
      <c r="P6" s="76"/>
      <c r="Q6" s="77"/>
      <c r="R6" s="90"/>
      <c r="S6" s="91"/>
      <c r="T6" s="188"/>
      <c r="U6" s="189"/>
      <c r="V6" s="91"/>
      <c r="W6" s="92"/>
      <c r="X6" s="90"/>
      <c r="Y6" s="91"/>
      <c r="Z6" s="168"/>
      <c r="AA6" s="16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78"/>
      <c r="I7" s="179"/>
      <c r="J7" s="178"/>
      <c r="K7" s="179"/>
      <c r="L7" s="77"/>
      <c r="M7" s="76"/>
      <c r="N7" s="77"/>
      <c r="O7" s="75"/>
      <c r="P7" s="76"/>
      <c r="Q7" s="77"/>
      <c r="R7" s="90"/>
      <c r="S7" s="91"/>
      <c r="T7" s="188"/>
      <c r="U7" s="189"/>
      <c r="V7" s="91"/>
      <c r="W7" s="92"/>
      <c r="X7" s="90"/>
      <c r="Y7" s="91"/>
      <c r="Z7" s="168"/>
      <c r="AA7" s="16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78"/>
      <c r="I8" s="179"/>
      <c r="J8" s="178"/>
      <c r="K8" s="179"/>
      <c r="L8" s="77"/>
      <c r="M8" s="76"/>
      <c r="N8" s="77"/>
      <c r="O8" s="75"/>
      <c r="P8" s="76"/>
      <c r="Q8" s="77"/>
      <c r="R8" s="90"/>
      <c r="S8" s="91"/>
      <c r="T8" s="188"/>
      <c r="U8" s="189"/>
      <c r="V8" s="91"/>
      <c r="W8" s="92"/>
      <c r="X8" s="90"/>
      <c r="Y8" s="91"/>
      <c r="Z8" s="168"/>
      <c r="AA8" s="16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78"/>
      <c r="I9" s="179"/>
      <c r="J9" s="178"/>
      <c r="K9" s="179"/>
      <c r="L9" s="77"/>
      <c r="M9" s="76"/>
      <c r="N9" s="77"/>
      <c r="O9" s="75"/>
      <c r="P9" s="76"/>
      <c r="Q9" s="77"/>
      <c r="R9" s="90"/>
      <c r="S9" s="91"/>
      <c r="T9" s="188"/>
      <c r="U9" s="189"/>
      <c r="V9" s="91"/>
      <c r="W9" s="92"/>
      <c r="X9" s="90"/>
      <c r="Y9" s="91"/>
      <c r="Z9" s="168"/>
      <c r="AA9" s="16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8"/>
      <c r="I10" s="179"/>
      <c r="J10" s="178"/>
      <c r="K10" s="179"/>
      <c r="L10" s="77"/>
      <c r="M10" s="76"/>
      <c r="N10" s="77"/>
      <c r="O10" s="75"/>
      <c r="P10" s="76"/>
      <c r="Q10" s="77"/>
      <c r="R10" s="90"/>
      <c r="S10" s="91"/>
      <c r="T10" s="188"/>
      <c r="U10" s="189"/>
      <c r="V10" s="91"/>
      <c r="W10" s="92"/>
      <c r="X10" s="90"/>
      <c r="Y10" s="91"/>
      <c r="Z10" s="168"/>
      <c r="AA10" s="16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8"/>
      <c r="I11" s="179"/>
      <c r="J11" s="178"/>
      <c r="K11" s="17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88"/>
      <c r="U11" s="189"/>
      <c r="V11" s="91"/>
      <c r="W11" s="92"/>
      <c r="X11" s="90"/>
      <c r="Y11" s="91"/>
      <c r="Z11" s="168"/>
      <c r="AA11" s="16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8"/>
      <c r="I12" s="179"/>
      <c r="J12" s="178"/>
      <c r="K12" s="179"/>
      <c r="L12" s="77"/>
      <c r="M12" s="76"/>
      <c r="N12" s="77"/>
      <c r="O12" s="75"/>
      <c r="P12" s="76"/>
      <c r="Q12" s="77"/>
      <c r="R12" s="90"/>
      <c r="S12" s="91"/>
      <c r="T12" s="188"/>
      <c r="U12" s="189"/>
      <c r="V12" s="91"/>
      <c r="W12" s="92"/>
      <c r="X12" s="90"/>
      <c r="Y12" s="91"/>
      <c r="Z12" s="168"/>
      <c r="AA12" s="16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8"/>
      <c r="I13" s="179"/>
      <c r="J13" s="178"/>
      <c r="K13" s="179"/>
      <c r="L13" s="77"/>
      <c r="M13" s="76"/>
      <c r="N13" s="77"/>
      <c r="O13" s="75"/>
      <c r="P13" s="76"/>
      <c r="Q13" s="77"/>
      <c r="R13" s="90"/>
      <c r="S13" s="91"/>
      <c r="T13" s="188"/>
      <c r="U13" s="189"/>
      <c r="V13" s="91"/>
      <c r="W13" s="92"/>
      <c r="X13" s="90"/>
      <c r="Y13" s="91"/>
      <c r="Z13" s="168"/>
      <c r="AA13" s="16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8"/>
      <c r="I14" s="179"/>
      <c r="J14" s="178"/>
      <c r="K14" s="17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88"/>
      <c r="U14" s="189"/>
      <c r="V14" s="91"/>
      <c r="W14" s="92"/>
      <c r="X14" s="90"/>
      <c r="Y14" s="91"/>
      <c r="Z14" s="168"/>
      <c r="AA14" s="16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8"/>
      <c r="I15" s="179"/>
      <c r="J15" s="178"/>
      <c r="K15" s="179"/>
      <c r="L15" s="77"/>
      <c r="M15" s="76"/>
      <c r="N15" s="77"/>
      <c r="O15" s="75"/>
      <c r="P15" s="76"/>
      <c r="Q15" s="77"/>
      <c r="R15" s="90"/>
      <c r="S15" s="91"/>
      <c r="T15" s="188"/>
      <c r="U15" s="189"/>
      <c r="V15" s="91"/>
      <c r="W15" s="92"/>
      <c r="X15" s="90"/>
      <c r="Y15" s="91"/>
      <c r="Z15" s="168"/>
      <c r="AA15" s="16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8"/>
      <c r="I16" s="179"/>
      <c r="J16" s="178"/>
      <c r="K16" s="17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88"/>
      <c r="U16" s="189"/>
      <c r="V16" s="91"/>
      <c r="W16" s="92"/>
      <c r="X16" s="90"/>
      <c r="Y16" s="91"/>
      <c r="Z16" s="168"/>
      <c r="AA16" s="16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8"/>
      <c r="I17" s="179"/>
      <c r="J17" s="178"/>
      <c r="K17" s="17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88"/>
      <c r="U17" s="189"/>
      <c r="V17" s="91"/>
      <c r="W17" s="92"/>
      <c r="X17" s="90"/>
      <c r="Y17" s="91"/>
      <c r="Z17" s="168"/>
      <c r="AA17" s="16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8"/>
      <c r="I18" s="179"/>
      <c r="J18" s="178"/>
      <c r="K18" s="17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88"/>
      <c r="U18" s="189"/>
      <c r="V18" s="91"/>
      <c r="W18" s="92"/>
      <c r="X18" s="90"/>
      <c r="Y18" s="91"/>
      <c r="Z18" s="168"/>
      <c r="AA18" s="16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8"/>
      <c r="I19" s="179"/>
      <c r="J19" s="178"/>
      <c r="K19" s="17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88"/>
      <c r="U19" s="189"/>
      <c r="V19" s="91"/>
      <c r="W19" s="92"/>
      <c r="X19" s="90"/>
      <c r="Y19" s="91"/>
      <c r="Z19" s="168"/>
      <c r="AA19" s="16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8"/>
      <c r="I20" s="179"/>
      <c r="J20" s="178"/>
      <c r="K20" s="17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88"/>
      <c r="U20" s="189"/>
      <c r="V20" s="91"/>
      <c r="W20" s="92"/>
      <c r="X20" s="90"/>
      <c r="Y20" s="91"/>
      <c r="Z20" s="168"/>
      <c r="AA20" s="16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8"/>
      <c r="I21" s="179"/>
      <c r="J21" s="178"/>
      <c r="K21" s="179"/>
      <c r="L21" s="77"/>
      <c r="M21" s="76"/>
      <c r="N21" s="77"/>
      <c r="O21" s="75"/>
      <c r="P21" s="76"/>
      <c r="Q21" s="77"/>
      <c r="R21" s="90"/>
      <c r="S21" s="91"/>
      <c r="T21" s="188"/>
      <c r="U21" s="189"/>
      <c r="V21" s="91"/>
      <c r="W21" s="92"/>
      <c r="X21" s="90"/>
      <c r="Y21" s="91"/>
      <c r="Z21" s="168"/>
      <c r="AA21" s="16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8"/>
      <c r="I22" s="179"/>
      <c r="J22" s="178"/>
      <c r="K22" s="179"/>
      <c r="L22" s="77"/>
      <c r="M22" s="76"/>
      <c r="N22" s="77"/>
      <c r="O22" s="75"/>
      <c r="P22" s="76"/>
      <c r="Q22" s="77"/>
      <c r="R22" s="90"/>
      <c r="S22" s="91"/>
      <c r="T22" s="188"/>
      <c r="U22" s="189"/>
      <c r="V22" s="91"/>
      <c r="W22" s="92"/>
      <c r="X22" s="90"/>
      <c r="Y22" s="91"/>
      <c r="Z22" s="168"/>
      <c r="AA22" s="16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8"/>
      <c r="I23" s="179"/>
      <c r="J23" s="178"/>
      <c r="K23" s="179"/>
      <c r="L23" s="77"/>
      <c r="M23" s="76"/>
      <c r="N23" s="77"/>
      <c r="O23" s="75"/>
      <c r="P23" s="76"/>
      <c r="Q23" s="77"/>
      <c r="R23" s="90"/>
      <c r="S23" s="91"/>
      <c r="T23" s="188"/>
      <c r="U23" s="189"/>
      <c r="V23" s="91"/>
      <c r="W23" s="92"/>
      <c r="X23" s="90"/>
      <c r="Y23" s="91"/>
      <c r="Z23" s="168"/>
      <c r="AA23" s="16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63">
        <v>2020</v>
      </c>
      <c r="B24" s="61"/>
      <c r="C24" s="61"/>
      <c r="D24" s="78"/>
      <c r="E24" s="80"/>
      <c r="F24" s="64"/>
      <c r="G24" s="78"/>
      <c r="H24" s="180"/>
      <c r="I24" s="181"/>
      <c r="J24" s="180"/>
      <c r="K24" s="181"/>
      <c r="L24" s="80"/>
      <c r="M24" s="79"/>
      <c r="N24" s="80"/>
      <c r="O24" s="78"/>
      <c r="P24" s="79"/>
      <c r="Q24" s="80"/>
      <c r="R24" s="93"/>
      <c r="S24" s="94"/>
      <c r="T24" s="190"/>
      <c r="U24" s="191"/>
      <c r="V24" s="94"/>
      <c r="W24" s="95"/>
      <c r="X24" s="93"/>
      <c r="Y24" s="94"/>
      <c r="Z24" s="170"/>
      <c r="AA24" s="171"/>
      <c r="AB24" s="94"/>
      <c r="AC24" s="95"/>
      <c r="AD24" s="102"/>
      <c r="AE24" s="102"/>
      <c r="AF24" s="93"/>
      <c r="AG24" s="93"/>
      <c r="AH24" s="94"/>
      <c r="AI24" s="94"/>
      <c r="AJ24" s="94"/>
      <c r="AK24" s="94"/>
      <c r="AL24" s="95"/>
    </row>
    <row r="25" spans="1:38" x14ac:dyDescent="0.25">
      <c r="A25" s="31">
        <v>2021</v>
      </c>
    </row>
    <row r="26" spans="1:38" x14ac:dyDescent="0.25">
      <c r="A26" s="31">
        <v>2022</v>
      </c>
    </row>
    <row r="27" spans="1:38" x14ac:dyDescent="0.25">
      <c r="A27" s="31">
        <v>2023</v>
      </c>
    </row>
    <row r="28" spans="1:38" x14ac:dyDescent="0.25">
      <c r="A28" s="31">
        <v>2024</v>
      </c>
    </row>
    <row r="29" spans="1:38" x14ac:dyDescent="0.25">
      <c r="A29" s="63">
        <v>2025</v>
      </c>
      <c r="M29" s="60">
        <v>0.95</v>
      </c>
      <c r="N29" s="60">
        <v>0.95</v>
      </c>
    </row>
    <row r="30" spans="1:38" x14ac:dyDescent="0.25">
      <c r="A30" s="31">
        <v>2026</v>
      </c>
    </row>
    <row r="31" spans="1:38" x14ac:dyDescent="0.25">
      <c r="A31" s="31">
        <v>2027</v>
      </c>
    </row>
    <row r="32" spans="1:38" x14ac:dyDescent="0.25">
      <c r="A32" s="31">
        <v>2028</v>
      </c>
    </row>
    <row r="33" spans="1:14" x14ac:dyDescent="0.25">
      <c r="A33" s="31">
        <v>2029</v>
      </c>
    </row>
    <row r="34" spans="1:14" x14ac:dyDescent="0.25">
      <c r="A34" s="63">
        <v>2030</v>
      </c>
      <c r="M34" s="60">
        <v>0.99</v>
      </c>
      <c r="N34" s="60">
        <v>0.99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K31" sqref="K31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5</v>
      </c>
      <c r="D19" s="76">
        <v>0.25</v>
      </c>
      <c r="E19" s="76">
        <v>2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pars</vt:lpstr>
      <vt:lpstr>data</vt:lpstr>
      <vt:lpstr>mixing</vt:lpstr>
      <vt:lpstr>timepars</vt:lpstr>
      <vt:lpstr>scen_1</vt:lpstr>
      <vt:lpstr>scen_2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2020-02-10T06:46:49Z</dcterms:modified>
</cp:coreProperties>
</file>