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200" windowHeight="11580"/>
  </bookViews>
  <sheets>
    <sheet name="pars" sheetId="1" r:id="rId1"/>
    <sheet name="data" sheetId="5" r:id="rId2"/>
    <sheet name="base" sheetId="15" r:id="rId3"/>
    <sheet name="base (old)" sheetId="18" r:id="rId4"/>
    <sheet name="data (old)" sheetId="19" r:id="rId5"/>
    <sheet name="PrEPX" sheetId="17" r:id="rId6"/>
  </sheets>
  <calcPr calcId="145621"/>
</workbook>
</file>

<file path=xl/calcChain.xml><?xml version="1.0" encoding="utf-8"?>
<calcChain xmlns="http://schemas.openxmlformats.org/spreadsheetml/2006/main">
  <c r="C28" i="1" l="1"/>
  <c r="C14" i="1" l="1"/>
  <c r="H2" i="15" l="1"/>
  <c r="B40" i="1"/>
  <c r="B39" i="1"/>
  <c r="B41" i="1" l="1"/>
  <c r="E18" i="1"/>
  <c r="D18" i="1"/>
  <c r="T12" i="5" l="1"/>
  <c r="S12" i="5" s="1"/>
  <c r="Q12" i="5"/>
  <c r="H9" i="15"/>
  <c r="D29" i="1"/>
  <c r="E29" i="1"/>
  <c r="D28" i="1"/>
  <c r="E28" i="1" l="1"/>
  <c r="G2" i="5"/>
  <c r="H12" i="5" l="1"/>
  <c r="Q11" i="19"/>
  <c r="T10" i="19"/>
  <c r="S10" i="19"/>
  <c r="Q10" i="19"/>
  <c r="T9" i="19"/>
  <c r="Q9" i="19"/>
  <c r="S9" i="19" s="1"/>
  <c r="T8" i="19"/>
  <c r="S8" i="19"/>
  <c r="Q8" i="19"/>
  <c r="Q7" i="19"/>
  <c r="T7" i="19" s="1"/>
  <c r="Q6" i="19"/>
  <c r="T6" i="19" s="1"/>
  <c r="S6" i="19" s="1"/>
  <c r="T5" i="19"/>
  <c r="Q5" i="19"/>
  <c r="S5" i="19" s="1"/>
  <c r="Q4" i="19"/>
  <c r="T4" i="19" s="1"/>
  <c r="G4" i="19"/>
  <c r="G5" i="19" s="1"/>
  <c r="Q3" i="19"/>
  <c r="K3" i="19"/>
  <c r="J3" i="19"/>
  <c r="G3" i="19"/>
  <c r="C3" i="19"/>
  <c r="Q2" i="19"/>
  <c r="T2" i="19" s="1"/>
  <c r="S2" i="19" s="1"/>
  <c r="K2" i="19"/>
  <c r="M2" i="19" s="1"/>
  <c r="C2" i="19"/>
  <c r="G6" i="19" l="1"/>
  <c r="C5" i="19"/>
  <c r="K5" i="19" s="1"/>
  <c r="M5" i="19" s="1"/>
  <c r="T3" i="19"/>
  <c r="S3" i="19" s="1"/>
  <c r="J2" i="19"/>
  <c r="L2" i="19" s="1"/>
  <c r="J4" i="19"/>
  <c r="S4" i="19"/>
  <c r="T11" i="19"/>
  <c r="S11" i="19" s="1"/>
  <c r="C4" i="19"/>
  <c r="K4" i="19" s="1"/>
  <c r="S7" i="19"/>
  <c r="G2" i="18"/>
  <c r="I2" i="18" s="1"/>
  <c r="R2" i="15"/>
  <c r="R9" i="15" s="1"/>
  <c r="P2" i="15"/>
  <c r="P9" i="15" s="1"/>
  <c r="O2" i="15"/>
  <c r="O9" i="15" s="1"/>
  <c r="M2" i="15"/>
  <c r="M9" i="15" s="1"/>
  <c r="G8" i="18" l="1"/>
  <c r="J5" i="19"/>
  <c r="L5" i="19" s="1"/>
  <c r="C6" i="19"/>
  <c r="K6" i="19" s="1"/>
  <c r="M6" i="19" s="1"/>
  <c r="G7" i="19"/>
  <c r="H2" i="18"/>
  <c r="G2" i="15"/>
  <c r="G9" i="15" l="1"/>
  <c r="I2" i="15"/>
  <c r="I9" i="15" s="1"/>
  <c r="I8" i="18"/>
  <c r="H8" i="18"/>
  <c r="J6" i="19"/>
  <c r="L6" i="19" s="1"/>
  <c r="C7" i="19"/>
  <c r="K7" i="19" s="1"/>
  <c r="M7" i="19" s="1"/>
  <c r="G8" i="19"/>
  <c r="C21" i="1"/>
  <c r="C11" i="1"/>
  <c r="C10" i="1"/>
  <c r="C9" i="1"/>
  <c r="C8" i="1"/>
  <c r="C2" i="1"/>
  <c r="J7" i="19" l="1"/>
  <c r="L7" i="19" s="1"/>
  <c r="G9" i="19"/>
  <c r="C8" i="19"/>
  <c r="K8" i="19" s="1"/>
  <c r="M8" i="19" s="1"/>
  <c r="G10" i="19" l="1"/>
  <c r="C9" i="19"/>
  <c r="K9" i="19" s="1"/>
  <c r="M9" i="19" s="1"/>
  <c r="J8" i="19"/>
  <c r="L8" i="19" s="1"/>
  <c r="G11" i="19" l="1"/>
  <c r="J10" i="19"/>
  <c r="L10" i="19" s="1"/>
  <c r="C10" i="19"/>
  <c r="K10" i="19" s="1"/>
  <c r="M10" i="19" s="1"/>
  <c r="J9" i="19"/>
  <c r="L9" i="19" s="1"/>
  <c r="G3" i="5"/>
  <c r="G4" i="5" s="1"/>
  <c r="G5" i="5" s="1"/>
  <c r="G6" i="5" s="1"/>
  <c r="G7" i="5" s="1"/>
  <c r="G8" i="5" s="1"/>
  <c r="G9" i="5" s="1"/>
  <c r="G10" i="5" s="1"/>
  <c r="G11" i="5" s="1"/>
  <c r="G12" i="5" s="1"/>
  <c r="I7" i="1" s="1"/>
  <c r="D23" i="1"/>
  <c r="E23" i="1"/>
  <c r="D24" i="1"/>
  <c r="E24" i="1"/>
  <c r="D25" i="1"/>
  <c r="E25" i="1"/>
  <c r="D26" i="1"/>
  <c r="E26" i="1"/>
  <c r="D27" i="1"/>
  <c r="E27" i="1"/>
  <c r="G12" i="19" l="1"/>
  <c r="C11" i="19"/>
  <c r="K11" i="19" s="1"/>
  <c r="M11" i="19" s="1"/>
  <c r="Q11" i="5"/>
  <c r="T11" i="5" l="1"/>
  <c r="J11" i="19"/>
  <c r="L11" i="19" s="1"/>
  <c r="C12" i="19"/>
  <c r="K12" i="19" s="1"/>
  <c r="J12" i="19" s="1"/>
  <c r="S11" i="5"/>
  <c r="E21" i="1"/>
  <c r="D21" i="1"/>
  <c r="D22" i="1"/>
  <c r="E22" i="1"/>
  <c r="E8" i="1"/>
  <c r="C2" i="5"/>
  <c r="J7" i="1" l="1"/>
  <c r="C3" i="5"/>
  <c r="K3" i="5" s="1"/>
  <c r="J3" i="5" s="1"/>
  <c r="C5" i="5"/>
  <c r="C4" i="5"/>
  <c r="K4" i="5" s="1"/>
  <c r="J4" i="5" s="1"/>
  <c r="K5" i="5"/>
  <c r="J5" i="5" s="1"/>
  <c r="L5" i="5" s="1"/>
  <c r="K2" i="5"/>
  <c r="M2" i="5" s="1"/>
  <c r="Q3" i="5"/>
  <c r="T3" i="5" s="1"/>
  <c r="Q9" i="5"/>
  <c r="T9" i="5" s="1"/>
  <c r="Q10" i="5"/>
  <c r="T10" i="5" s="1"/>
  <c r="Q2" i="5"/>
  <c r="T2" i="5" s="1"/>
  <c r="Q8" i="5"/>
  <c r="T8" i="5" s="1"/>
  <c r="Q7" i="5"/>
  <c r="T7" i="5" s="1"/>
  <c r="Q6" i="5"/>
  <c r="T6" i="5" s="1"/>
  <c r="Q5" i="5"/>
  <c r="T5" i="5" s="1"/>
  <c r="Q4" i="5"/>
  <c r="T4" i="5" s="1"/>
  <c r="D11" i="1"/>
  <c r="E10" i="1"/>
  <c r="D16" i="1"/>
  <c r="D12" i="1"/>
  <c r="E5" i="1"/>
  <c r="D5" i="1"/>
  <c r="D14" i="1"/>
  <c r="E14" i="1"/>
  <c r="E17" i="1"/>
  <c r="E19" i="1"/>
  <c r="D15" i="1"/>
  <c r="D17" i="1"/>
  <c r="D19" i="1"/>
  <c r="E6" i="1"/>
  <c r="D6" i="1"/>
  <c r="E4" i="1"/>
  <c r="D4" i="1"/>
  <c r="E13" i="1"/>
  <c r="E12" i="1"/>
  <c r="D13" i="1"/>
  <c r="D8" i="1"/>
  <c r="J2" i="5" l="1"/>
  <c r="L2" i="5" s="1"/>
  <c r="S4" i="5"/>
  <c r="S9" i="5"/>
  <c r="S10" i="5"/>
  <c r="S5" i="5"/>
  <c r="E16" i="1"/>
  <c r="D10" i="1"/>
  <c r="E11" i="1"/>
  <c r="S8" i="5"/>
  <c r="S7" i="5"/>
  <c r="S6" i="5"/>
  <c r="S3" i="5"/>
  <c r="S2" i="5"/>
  <c r="C6" i="5"/>
  <c r="K6" i="5" s="1"/>
  <c r="M5" i="5"/>
  <c r="J6" i="5" l="1"/>
  <c r="L6" i="5" s="1"/>
  <c r="M6" i="5"/>
  <c r="C7" i="5"/>
  <c r="K7" i="5" s="1"/>
  <c r="C8" i="5" l="1"/>
  <c r="K8" i="5" s="1"/>
  <c r="M8" i="5" s="1"/>
  <c r="D7" i="1"/>
  <c r="J6" i="1"/>
  <c r="E7" i="1"/>
  <c r="J7" i="5"/>
  <c r="L7" i="5" s="1"/>
  <c r="M7" i="5"/>
  <c r="J8" i="5" l="1"/>
  <c r="L8" i="5" s="1"/>
  <c r="C9" i="5"/>
  <c r="K9" i="5" s="1"/>
  <c r="C10" i="5" l="1"/>
  <c r="K10" i="5" s="1"/>
  <c r="J9" i="5"/>
  <c r="L9" i="5" s="1"/>
  <c r="M9" i="5"/>
  <c r="C11" i="5" l="1"/>
  <c r="K11" i="5" s="1"/>
  <c r="C12" i="5"/>
  <c r="K12" i="5" s="1"/>
  <c r="J10" i="5"/>
  <c r="L10" i="5" s="1"/>
  <c r="M10" i="5"/>
  <c r="J12" i="5" l="1"/>
  <c r="M12" i="5"/>
  <c r="J11" i="5"/>
  <c r="L11" i="5" s="1"/>
  <c r="M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13" authorId="1">
      <text/>
    </comment>
    <comment ref="C15" authorId="1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Is this used in this particular model? I know this is based on the blinded clinical trials, but I would update. Unless this really needs to be from a blinded RCT, I would consider using this study, and open label extension which compares incidence to the non-PrEP control group in the previous stage of the study.
relative reduction of 97% (CI 81-100)
https://www.ncbi.nlm.nih.gov/pubmed/28747274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 xml:space="preserve">Tom Tidhar:
</t>
        </r>
        <r>
          <rPr>
            <sz val="9"/>
            <color indexed="81"/>
            <rFont val="Tahoma"/>
            <family val="2"/>
          </rPr>
          <t>from:</t>
        </r>
        <r>
          <rPr>
            <b/>
            <sz val="9"/>
            <color indexed="81"/>
            <rFont val="Tahoma"/>
            <family val="2"/>
          </rPr>
          <t xml:space="preserve">
Condom Effectiveness for HIV Prevention by Consistency
of Use Among Men Who Have Sex With Men in the
United States
</t>
        </r>
        <r>
          <rPr>
            <sz val="9"/>
            <color indexed="81"/>
            <rFont val="Tahoma"/>
            <family val="2"/>
          </rPr>
          <t xml:space="preserve">
Estimated condom effectiveness was 72.3% (95% CI: 60.7% to 80.5%) for receptive anal sex, 62.9% (95% CI: 46.3% to 74.3%) for insertive anal sex, and 70.5% (95% CI: 58.2% to 79.2%) for any receptive or insertive anal sex (Table 3).
Choosing the upper bound for receptive and insertive anal sex</t>
        </r>
      </text>
    </comment>
    <comment ref="C17" authorId="1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From Holt et al GCPS paper: Of men not on PrEP - 39% Consistent condom use
From my PrEPX data during follow-up (at least 6 months of PrEP use): 13% ALWAYS use condoms. (unpublished)
Depending how you want to define " relative condom use". If just in terms of "consistent condom use", perhaps a factor of 0.3.
https://www.ncbi.nlm.nih.gov/pubmed/29885813</t>
        </r>
      </text>
    </comment>
    <comment ref="C20" authorId="1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Michael Traeger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 will send you data from PrEPX regarding condom use, but consider using factor of 0.3 compared to non-PrEP users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From 2016 GPCS - I think this should be 6% = 0.06</t>
        </r>
      </text>
    </comment>
  </commentList>
</comments>
</file>

<file path=xl/comments4.xml><?xml version="1.0" encoding="utf-8"?>
<comments xmlns="http://schemas.openxmlformats.org/spreadsheetml/2006/main">
  <authors>
    <author>Michael Traeger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 will send you data from PrEPX regarding condom use, but consider using factor of 0.3 compared to non-PrEP users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From 2016 GPCS - I think this should be 6% = 0.06</t>
        </r>
      </text>
    </comment>
  </commentList>
</comments>
</file>

<file path=xl/comments5.xml><?xml version="1.0" encoding="utf-8"?>
<comments xmlns="http://schemas.openxmlformats.org/spreadsheetml/2006/main">
  <authors>
    <author>Tom Tidhar</author>
    <author>Michael Traeger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</commentList>
</comments>
</file>

<file path=xl/sharedStrings.xml><?xml version="1.0" encoding="utf-8"?>
<sst xmlns="http://schemas.openxmlformats.org/spreadsheetml/2006/main" count="194" uniqueCount="143">
  <si>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</si>
  <si>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</si>
  <si>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</si>
  <si>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</si>
  <si>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</si>
  <si>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</si>
  <si>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</si>
  <si>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Dialysis costs ($)</t>
  </si>
  <si>
    <t>mean of 55; range 4-70</t>
  </si>
  <si>
    <t>5% probability per year converted to rate</t>
  </si>
  <si>
    <t>160 days</t>
  </si>
  <si>
    <t>dt</t>
  </si>
  <si>
    <t>alpha1</t>
  </si>
  <si>
    <t>alpha2</t>
  </si>
  <si>
    <t>alpha3</t>
  </si>
  <si>
    <t>mu</t>
  </si>
  <si>
    <t>extra_death_I</t>
  </si>
  <si>
    <t>extra_death_D</t>
  </si>
  <si>
    <t>Time step size</t>
  </si>
  <si>
    <t>Force of infection constant</t>
  </si>
  <si>
    <t>Relative infectivity following diagnosis</t>
  </si>
  <si>
    <t>Relative infectivity when on treatment</t>
  </si>
  <si>
    <t>growth</t>
  </si>
  <si>
    <t>All-cause mortality rate</t>
  </si>
  <si>
    <t>Rate of diagnosis (1/time from infection to diagnosis)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</si>
  <si>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</si>
  <si>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</si>
  <si>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</si>
  <si>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</si>
  <si>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</si>
  <si>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</si>
  <si>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</si>
  <si>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</si>
  <si>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</si>
  <si>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Condom use with casual partners</t>
  </si>
  <si>
    <t>c0</t>
  </si>
  <si>
    <t>Effectiveness of PrEP</t>
  </si>
  <si>
    <t>eff_prep</t>
  </si>
  <si>
    <t>Effectiveness of condoms</t>
  </si>
  <si>
    <t>eff_condom</t>
  </si>
  <si>
    <t>Total MSM</t>
  </si>
  <si>
    <t>prop_condom_prep</t>
  </si>
  <si>
    <t>Relative condom use by PrEP population</t>
  </si>
  <si>
    <t>Relative infectivity when virally suppressed</t>
  </si>
  <si>
    <t>prop_prep_base</t>
  </si>
  <si>
    <t>Uncertainty</t>
  </si>
  <si>
    <t>Victorian HIV- GBM population size</t>
  </si>
  <si>
    <t>Prop diagnosed</t>
  </si>
  <si>
    <t>Prop on treatment</t>
  </si>
  <si>
    <t>Prop virally suppressed</t>
  </si>
  <si>
    <t>Relative rate of diagnosis of HIV</t>
  </si>
  <si>
    <t>rate of diagnosis of syph, for HIV- no prep</t>
  </si>
  <si>
    <t>rate of diagnosis of syph, for HIV+</t>
  </si>
  <si>
    <t>rate of diagnosis of syph, for HIV- prep</t>
  </si>
  <si>
    <t>Condom usage, HIV- no prep</t>
  </si>
  <si>
    <t>Condom usage, HIV- prep</t>
  </si>
  <si>
    <t>Condom usage, HIV+</t>
  </si>
  <si>
    <t>Proportion of HIV- on prep</t>
  </si>
  <si>
    <t>Prop testing, HIV- no prep</t>
  </si>
  <si>
    <t>Prop testing, HIV+</t>
  </si>
  <si>
    <t>Prop testing, HIV- prep</t>
  </si>
  <si>
    <t>mix1</t>
  </si>
  <si>
    <t>mix2</t>
  </si>
  <si>
    <t>mix3</t>
  </si>
  <si>
    <t>Mixing in HIV-, no prep</t>
  </si>
  <si>
    <t>Mixing in HIV-, prep</t>
  </si>
  <si>
    <t>Mixing in HIV+</t>
  </si>
  <si>
    <t>r_diag_HIV</t>
  </si>
  <si>
    <t>f_infect_HIV</t>
  </si>
  <si>
    <t>Victorian HIV+ GBM population size</t>
  </si>
  <si>
    <t>%male</t>
  </si>
  <si>
    <t>%of male MSM</t>
  </si>
  <si>
    <t>Nil to gel, HIV- no prep</t>
  </si>
  <si>
    <t>Nil to gel, HIV- prep</t>
  </si>
  <si>
    <t>Nil to gel, HIV+</t>
  </si>
  <si>
    <t>Condom to gel, HIV- prep</t>
  </si>
  <si>
    <t>Condom to gel, HIV+</t>
  </si>
  <si>
    <t>Condom to gel, HIV- no prep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</si>
  <si>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</si>
  <si>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</si>
  <si>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</si>
  <si>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</si>
  <si>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</si>
  <si>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</si>
  <si>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</si>
  <si>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</si>
  <si>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</si>
  <si>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</si>
  <si>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</si>
  <si>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</si>
  <si>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</si>
  <si>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</si>
  <si>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Gon. notifications among HIV- GBM</t>
  </si>
  <si>
    <t>Gon. notifications among HIV+ GBM</t>
  </si>
  <si>
    <t>Proportion of gonorrhoea+ who are symptomatic</t>
  </si>
  <si>
    <t>Gon. prevalence estimate among HIV-negative GBM</t>
  </si>
  <si>
    <t>Gon. prevalence estimate among HIV-positive GBM</t>
  </si>
  <si>
    <t>People living with gon. amongst HIV-</t>
  </si>
  <si>
    <t>People living with gon. amongst HIV+</t>
  </si>
  <si>
    <t>% of gon. notifications which were HIV+</t>
  </si>
  <si>
    <t>Victorian MSM gon. notifications</t>
  </si>
  <si>
    <t>Victorian infectious gon. notifications</t>
  </si>
  <si>
    <t>Time between gon. testing, low risk HIV- no prep</t>
  </si>
  <si>
    <t>Time between gon. testing, low risk HIV- prep</t>
  </si>
  <si>
    <t>Time between gon. testing, low risk HIV+</t>
  </si>
  <si>
    <t>Time between gon. testing, high risk HIV- no prep</t>
  </si>
  <si>
    <t>Time between gon. testing, high risk HIV- prep</t>
  </si>
  <si>
    <t>Time between gon. testing, high risk HIV+</t>
  </si>
  <si>
    <t>Proportion of Victorian Gon. Notifications attributable to PrEP users</t>
  </si>
  <si>
    <t>PrEPX participants with at least 1 year of follow-up (n=2074)</t>
  </si>
  <si>
    <t>All participants</t>
  </si>
  <si>
    <t>Participants diagnosed with NO gonorrhoea</t>
  </si>
  <si>
    <t>Participants diagnosed with ONLY ONE case of Gonorrhoea</t>
  </si>
  <si>
    <t>Participants diagnosed with MULTIPLE cases of Gonorrhoea</t>
  </si>
  <si>
    <t>n</t>
  </si>
  <si>
    <t>%</t>
  </si>
  <si>
    <t>Average Gonorrhea testing rate (per year)</t>
  </si>
  <si>
    <t>Gonorrhea test positivity rate (%)</t>
  </si>
  <si>
    <t>Gonorrhea incidence rate (per 100py)</t>
  </si>
  <si>
    <t>HIV- Non-PrEPX participants</t>
  </si>
  <si>
    <t>HIV+ Non-PrEPX participants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</si>
  <si>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</si>
  <si>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</si>
  <si>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</si>
  <si>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</si>
  <si>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</si>
  <si>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</si>
  <si>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</si>
  <si>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</si>
  <si>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</si>
  <si>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Prop HIV diagnosed</t>
  </si>
  <si>
    <t>Prop HIV on treatment</t>
  </si>
  <si>
    <t>Prop HIV virally suppressed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</si>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</sst>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00"/>
    <numFmt numFmtId="168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7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6" fontId="0" fillId="3" borderId="1" xfId="0" applyNumberFormat="1" applyFill="1" applyBorder="1"/>
    <xf numFmtId="0" fontId="0" fillId="3" borderId="1" xfId="0" applyFont="1" applyFill="1" applyBorder="1"/>
    <xf numFmtId="0" fontId="0" fillId="3" borderId="1" xfId="0" applyNumberFormat="1" applyFill="1" applyBorder="1"/>
    <xf numFmtId="2" fontId="0" fillId="5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9" fontId="0" fillId="3" borderId="0" xfId="13" applyFont="1" applyFill="1"/>
    <xf numFmtId="0" fontId="0" fillId="3" borderId="1" xfId="0" applyFill="1" applyBorder="1"/>
    <xf numFmtId="2" fontId="0" fillId="3" borderId="1" xfId="0" applyNumberFormat="1" applyFill="1" applyBorder="1"/>
    <xf numFmtId="9" fontId="0" fillId="3" borderId="1" xfId="13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0" fillId="0" borderId="4" xfId="0" applyNumberForma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0" xfId="0" applyNumberFormat="1" applyFill="1" applyBorder="1"/>
    <xf numFmtId="2" fontId="0" fillId="3" borderId="4" xfId="0" applyNumberFormat="1" applyFill="1" applyBorder="1"/>
    <xf numFmtId="2" fontId="0" fillId="3" borderId="3" xfId="0" applyNumberFormat="1" applyFill="1" applyBorder="1"/>
    <xf numFmtId="2" fontId="0" fillId="3" borderId="2" xfId="0" applyNumberFormat="1" applyFill="1" applyBorder="1"/>
    <xf numFmtId="2" fontId="0" fillId="3" borderId="5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9" xfId="0" applyBorder="1"/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2" fontId="0" fillId="4" borderId="0" xfId="0" applyNumberFormat="1" applyFill="1" applyBorder="1"/>
    <xf numFmtId="2" fontId="0" fillId="4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0" fillId="5" borderId="5" xfId="0" applyNumberFormat="1" applyFill="1" applyBorder="1"/>
    <xf numFmtId="0" fontId="0" fillId="3" borderId="4" xfId="0" applyFill="1" applyBorder="1"/>
    <xf numFmtId="0" fontId="0" fillId="3" borderId="0" xfId="0" applyFill="1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2" fontId="0" fillId="4" borderId="10" xfId="0" applyNumberFormat="1" applyFill="1" applyBorder="1"/>
    <xf numFmtId="1" fontId="0" fillId="4" borderId="1" xfId="0" applyNumberFormat="1" applyFill="1" applyBorder="1"/>
    <xf numFmtId="1" fontId="0" fillId="4" borderId="0" xfId="0" applyNumberFormat="1" applyFill="1" applyBorder="1"/>
    <xf numFmtId="1" fontId="0" fillId="3" borderId="1" xfId="0" applyNumberFormat="1" applyFill="1" applyBorder="1"/>
    <xf numFmtId="1" fontId="0" fillId="3" borderId="4" xfId="0" applyNumberFormat="1" applyFill="1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67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8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1" fontId="0" fillId="2" borderId="1" xfId="0" applyNumberFormat="1" applyFill="1" applyBorder="1"/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2" fontId="0" fillId="0" borderId="0" xfId="0" applyNumberFormat="1" applyBorder="1"/>
    <xf numFmtId="2" fontId="0" fillId="0" borderId="4" xfId="0" applyNumberFormat="1" applyBorder="1"/>
    <xf numFmtId="1" fontId="0" fillId="2" borderId="0" xfId="0" applyNumberFormat="1" applyFill="1" applyBorder="1"/>
    <xf numFmtId="1" fontId="0" fillId="2" borderId="4" xfId="0" applyNumberFormat="1" applyFill="1" applyBorder="1"/>
    <xf numFmtId="2" fontId="0" fillId="5" borderId="1" xfId="14" applyNumberFormat="1" applyFont="1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165" fontId="0" fillId="5" borderId="1" xfId="14" applyNumberFormat="1" applyFont="1" applyBorder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topLeftCell="A4" zoomScale="130" zoomScaleNormal="130" workbookViewId="0">
      <selection activeCell="C26" sqref="C26"/>
    </sheetView>
  </sheetViews>
  <sheetFormatPr defaultColWidth="8.85546875" defaultRowHeight="15" x14ac:dyDescent="0.25"/>
  <cols>
    <col min="1" max="1" width="49.28515625" style="9" bestFit="1" customWidth="1"/>
    <col min="2" max="2" width="16.140625" style="7" bestFit="1" customWidth="1"/>
    <col min="3" max="3" width="12.5703125" style="1" bestFit="1" customWidth="1"/>
    <col min="4" max="4" width="11.42578125" customWidth="1"/>
    <col min="5" max="5" width="11.42578125" style="5" customWidth="1"/>
    <col min="6" max="6" width="11.42578125" customWidth="1"/>
    <col min="7" max="7" width="28.7109375" customWidth="1"/>
    <col min="9" max="9" width="11.5703125" bestFit="1" customWidth="1"/>
    <col min="12" max="12" width="10.85546875" customWidth="1"/>
    <col min="13" max="13" width="10.42578125" bestFit="1" customWidth="1"/>
  </cols>
  <sheetData>
    <row r="1" spans="1:13" s="2" customFormat="1" ht="28.9" x14ac:dyDescent="0.3">
      <c r="A1" s="8" t="s">
        <v>0</v>
      </c>
      <c r="B1" s="6"/>
      <c r="C1" s="3" t="s">
        <v>1</v>
      </c>
      <c r="D1" s="2" t="s">
        <v>2</v>
      </c>
      <c r="E1" s="4" t="s">
        <v>3</v>
      </c>
      <c r="F1" s="2" t="s">
        <v>4</v>
      </c>
      <c r="G1" s="2" t="s">
        <v>5</v>
      </c>
      <c r="I1" s="2" t="s">
        <v>45</v>
      </c>
      <c r="L1" s="2" t="s">
        <v>86</v>
      </c>
    </row>
    <row r="2" spans="1:13" ht="14.45" x14ac:dyDescent="0.3">
      <c r="A2" s="9" t="s">
        <v>18</v>
      </c>
      <c r="B2" s="7" t="s">
        <v>11</v>
      </c>
      <c r="C2" s="33">
        <f>1/12</f>
        <v>8.3333333333333329E-2</v>
      </c>
      <c r="D2" s="22"/>
      <c r="E2" s="23"/>
      <c r="I2" s="10">
        <v>0.05</v>
      </c>
      <c r="L2" s="110"/>
      <c r="M2" t="s">
        <v>87</v>
      </c>
    </row>
    <row r="3" spans="1:13" ht="14.45" x14ac:dyDescent="0.3">
      <c r="A3" s="9" t="s">
        <v>19</v>
      </c>
      <c r="B3" s="7" t="s">
        <v>68</v>
      </c>
      <c r="C3" s="34">
        <v>0.06</v>
      </c>
      <c r="D3" s="22"/>
      <c r="E3" s="23"/>
      <c r="G3" t="s">
        <v>8</v>
      </c>
      <c r="L3" s="112"/>
      <c r="M3" t="s">
        <v>88</v>
      </c>
    </row>
    <row r="4" spans="1:13" ht="14.45" x14ac:dyDescent="0.3">
      <c r="A4" s="9" t="s">
        <v>20</v>
      </c>
      <c r="B4" s="7" t="s">
        <v>12</v>
      </c>
      <c r="C4" s="104">
        <v>1</v>
      </c>
      <c r="D4" s="22">
        <f>C4-$I$2*C4</f>
        <v>0.95</v>
      </c>
      <c r="E4" s="22">
        <f>C4+$I$2*C4</f>
        <v>1.05</v>
      </c>
      <c r="L4" s="107"/>
      <c r="M4" t="s">
        <v>91</v>
      </c>
    </row>
    <row r="5" spans="1:13" ht="14.45" x14ac:dyDescent="0.3">
      <c r="A5" s="9" t="s">
        <v>21</v>
      </c>
      <c r="B5" s="7" t="s">
        <v>13</v>
      </c>
      <c r="C5" s="104">
        <v>1</v>
      </c>
      <c r="D5" s="22">
        <f>C5-$I$2*C5</f>
        <v>0.95</v>
      </c>
      <c r="E5" s="22">
        <f>C5+$I$2*C5</f>
        <v>1.05</v>
      </c>
      <c r="L5" s="28"/>
      <c r="M5" t="s">
        <v>89</v>
      </c>
    </row>
    <row r="6" spans="1:13" ht="14.45" x14ac:dyDescent="0.3">
      <c r="A6" s="9" t="s">
        <v>43</v>
      </c>
      <c r="B6" s="7" t="s">
        <v>14</v>
      </c>
      <c r="C6" s="106">
        <v>0.04</v>
      </c>
      <c r="D6" s="22">
        <f>C6-$I$2*C6</f>
        <v>3.7999999999999999E-2</v>
      </c>
      <c r="E6" s="22">
        <f>C6+$I$2*C6</f>
        <v>4.2000000000000003E-2</v>
      </c>
      <c r="G6" t="s">
        <v>9</v>
      </c>
      <c r="J6">
        <f>(1+C7)^(12*(2040-2007))</f>
        <v>5.0031885420339695</v>
      </c>
      <c r="L6" s="118"/>
      <c r="M6" t="s">
        <v>142</v>
      </c>
    </row>
    <row r="7" spans="1:13" ht="18.75" customHeight="1" x14ac:dyDescent="0.3">
      <c r="A7" s="9" t="s">
        <v>90</v>
      </c>
      <c r="B7" s="7" t="s">
        <v>22</v>
      </c>
      <c r="C7" s="89">
        <v>4.0741237836483535E-3</v>
      </c>
      <c r="D7" s="24">
        <f>C7-$I$2*C7</f>
        <v>3.8704175944659358E-3</v>
      </c>
      <c r="E7" s="24">
        <f>C7+$I$2*C7</f>
        <v>4.2778299728307712E-3</v>
      </c>
      <c r="G7" t="s">
        <v>6</v>
      </c>
      <c r="I7" s="86">
        <f>((data!G12/data!G2) ^ (C2/((data!A12-data!A2))) - 1)</f>
        <v>4.0741237836483535E-3</v>
      </c>
      <c r="J7">
        <f>(data!G7-data!G2)/(data!A7-data!A2)/data!G2*C2</f>
        <v>4.6046927083333387E-3</v>
      </c>
    </row>
    <row r="8" spans="1:13" ht="18.75" customHeight="1" x14ac:dyDescent="0.3">
      <c r="A8" s="9" t="s">
        <v>23</v>
      </c>
      <c r="B8" s="7" t="s">
        <v>15</v>
      </c>
      <c r="C8" s="106">
        <f>0.001*12*C2</f>
        <v>1E-3</v>
      </c>
      <c r="D8" s="25">
        <f>C8-$I$2*C8</f>
        <v>9.5E-4</v>
      </c>
      <c r="E8" s="22">
        <f>C8+$I$2*C8</f>
        <v>1.0499999999999999E-3</v>
      </c>
    </row>
    <row r="9" spans="1:13" ht="17.25" customHeight="1" x14ac:dyDescent="0.3">
      <c r="A9" s="9" t="s">
        <v>24</v>
      </c>
      <c r="B9" s="7" t="s">
        <v>67</v>
      </c>
      <c r="C9" s="35">
        <f>0.5</f>
        <v>0.5</v>
      </c>
      <c r="D9" s="22"/>
      <c r="E9" s="22"/>
    </row>
    <row r="10" spans="1:13" ht="17.25" customHeight="1" x14ac:dyDescent="0.3">
      <c r="A10" s="9" t="s">
        <v>25</v>
      </c>
      <c r="B10" s="7" t="s">
        <v>16</v>
      </c>
      <c r="C10" s="104">
        <f>0.001*12*C2</f>
        <v>1E-3</v>
      </c>
      <c r="D10" s="22">
        <f>C10-$I$2*C10</f>
        <v>9.5E-4</v>
      </c>
      <c r="E10" s="22">
        <f>C10+$I$2*C10</f>
        <v>1.0499999999999999E-3</v>
      </c>
    </row>
    <row r="11" spans="1:13" ht="14.45" x14ac:dyDescent="0.3">
      <c r="A11" s="9" t="s">
        <v>26</v>
      </c>
      <c r="B11" s="7" t="s">
        <v>17</v>
      </c>
      <c r="C11" s="105">
        <f>0.001*12*C2</f>
        <v>1E-3</v>
      </c>
      <c r="D11" s="22">
        <f>C11-$I$2*C11</f>
        <v>9.5E-4</v>
      </c>
      <c r="E11" s="22">
        <f>C11+$I$2*C11</f>
        <v>1.0499999999999999E-3</v>
      </c>
      <c r="G11" t="s">
        <v>7</v>
      </c>
    </row>
    <row r="12" spans="1:13" ht="14.45" x14ac:dyDescent="0.3">
      <c r="A12" s="30" t="s">
        <v>28</v>
      </c>
      <c r="B12" s="31" t="s">
        <v>27</v>
      </c>
      <c r="C12" s="29">
        <v>7.5</v>
      </c>
      <c r="D12" s="26">
        <f>C12-$I$2*C12</f>
        <v>7.125</v>
      </c>
      <c r="E12" s="26">
        <f>C12+$I$2*C12</f>
        <v>7.875</v>
      </c>
      <c r="G12" t="s">
        <v>10</v>
      </c>
    </row>
    <row r="13" spans="1:13" ht="14.45" x14ac:dyDescent="0.3">
      <c r="A13" s="30" t="s">
        <v>30</v>
      </c>
      <c r="B13" s="31" t="s">
        <v>29</v>
      </c>
      <c r="C13" s="29">
        <v>0.13</v>
      </c>
      <c r="D13" s="24">
        <f>C13-$I$2*C13</f>
        <v>0.1235</v>
      </c>
      <c r="E13" s="24">
        <f>C13+$I$2*C13</f>
        <v>0.13650000000000001</v>
      </c>
    </row>
    <row r="14" spans="1:13" ht="14.45" x14ac:dyDescent="0.3">
      <c r="A14" s="30" t="s">
        <v>34</v>
      </c>
      <c r="B14" s="31" t="s">
        <v>35</v>
      </c>
      <c r="C14" s="103">
        <f>0.42</f>
        <v>0.42</v>
      </c>
      <c r="D14" s="26">
        <f t="shared" ref="D14:D19" si="0">C14-$I$2*C14</f>
        <v>0.39899999999999997</v>
      </c>
      <c r="E14" s="26">
        <f t="shared" ref="E14:E19" si="1">C14+$I$2*C14</f>
        <v>0.441</v>
      </c>
    </row>
    <row r="15" spans="1:13" ht="14.45" x14ac:dyDescent="0.3">
      <c r="A15" s="30" t="s">
        <v>36</v>
      </c>
      <c r="B15" s="31" t="s">
        <v>37</v>
      </c>
      <c r="C15" s="103">
        <v>0.97</v>
      </c>
      <c r="D15" s="26">
        <f t="shared" si="0"/>
        <v>0.92149999999999999</v>
      </c>
      <c r="E15" s="26">
        <v>1</v>
      </c>
    </row>
    <row r="16" spans="1:13" ht="14.45" x14ac:dyDescent="0.3">
      <c r="A16" s="30" t="s">
        <v>38</v>
      </c>
      <c r="B16" s="31" t="s">
        <v>39</v>
      </c>
      <c r="C16" s="108">
        <v>0.8</v>
      </c>
      <c r="D16" s="26">
        <f t="shared" si="0"/>
        <v>0.76</v>
      </c>
      <c r="E16" s="26">
        <f t="shared" si="1"/>
        <v>0.84000000000000008</v>
      </c>
    </row>
    <row r="17" spans="1:5" ht="14.45" x14ac:dyDescent="0.3">
      <c r="A17" s="30" t="s">
        <v>42</v>
      </c>
      <c r="B17" s="31" t="s">
        <v>41</v>
      </c>
      <c r="C17" s="29">
        <v>0.3</v>
      </c>
      <c r="D17" s="26">
        <f t="shared" si="0"/>
        <v>0.28499999999999998</v>
      </c>
      <c r="E17" s="26">
        <f t="shared" si="1"/>
        <v>0.315</v>
      </c>
    </row>
    <row r="18" spans="1:5" s="93" customFormat="1" x14ac:dyDescent="0.25">
      <c r="A18" s="9" t="s">
        <v>138</v>
      </c>
      <c r="B18" s="7" t="s">
        <v>141</v>
      </c>
      <c r="C18" s="29">
        <v>0.4</v>
      </c>
      <c r="D18" s="26">
        <f t="shared" ref="D18" si="2">C18-$I$2*C18</f>
        <v>0.38</v>
      </c>
      <c r="E18" s="26">
        <f t="shared" ref="E18" si="3">C18+$I$2*C18</f>
        <v>0.42000000000000004</v>
      </c>
    </row>
    <row r="19" spans="1:5" ht="14.45" x14ac:dyDescent="0.3">
      <c r="A19" s="9" t="s">
        <v>139</v>
      </c>
      <c r="B19" s="7" t="s">
        <v>140</v>
      </c>
      <c r="C19" s="29">
        <v>0.4</v>
      </c>
      <c r="D19" s="26">
        <f t="shared" si="0"/>
        <v>0.38</v>
      </c>
      <c r="E19" s="26">
        <f t="shared" si="1"/>
        <v>0.42000000000000004</v>
      </c>
    </row>
    <row r="20" spans="1:5" x14ac:dyDescent="0.25">
      <c r="A20" s="9" t="s">
        <v>85</v>
      </c>
      <c r="B20" s="7" t="s">
        <v>44</v>
      </c>
      <c r="C20" s="117">
        <v>0</v>
      </c>
      <c r="D20" s="26"/>
      <c r="E20" s="26"/>
    </row>
    <row r="21" spans="1:5" ht="14.45" x14ac:dyDescent="0.3">
      <c r="A21" s="9" t="s">
        <v>82</v>
      </c>
      <c r="B21" s="7" t="s">
        <v>78</v>
      </c>
      <c r="C21" s="113">
        <f>6.2</f>
        <v>6.2</v>
      </c>
      <c r="D21" s="26">
        <f t="shared" ref="D21:D27" si="4">C21-$I$2*C21</f>
        <v>5.8900000000000006</v>
      </c>
      <c r="E21" s="26">
        <f t="shared" ref="E21:E27" si="5">C21+$I$2*C21</f>
        <v>6.51</v>
      </c>
    </row>
    <row r="22" spans="1:5" ht="14.45" x14ac:dyDescent="0.3">
      <c r="A22" s="9" t="s">
        <v>83</v>
      </c>
      <c r="B22" s="7" t="s">
        <v>79</v>
      </c>
      <c r="C22" s="29">
        <v>7</v>
      </c>
      <c r="D22" s="26">
        <f t="shared" si="4"/>
        <v>6.65</v>
      </c>
      <c r="E22" s="26">
        <f t="shared" si="5"/>
        <v>7.35</v>
      </c>
    </row>
    <row r="23" spans="1:5" ht="14.45" x14ac:dyDescent="0.3">
      <c r="A23" s="9" t="s">
        <v>64</v>
      </c>
      <c r="B23" s="7" t="s">
        <v>61</v>
      </c>
      <c r="C23" s="104">
        <v>0.1</v>
      </c>
      <c r="D23" s="27">
        <f t="shared" si="4"/>
        <v>9.5000000000000001E-2</v>
      </c>
      <c r="E23" s="27">
        <f t="shared" si="5"/>
        <v>0.10500000000000001</v>
      </c>
    </row>
    <row r="24" spans="1:5" ht="14.45" x14ac:dyDescent="0.3">
      <c r="A24" s="9" t="s">
        <v>65</v>
      </c>
      <c r="B24" s="7" t="s">
        <v>62</v>
      </c>
      <c r="C24" s="104">
        <v>0.17</v>
      </c>
      <c r="D24" s="27">
        <f t="shared" si="4"/>
        <v>0.1615</v>
      </c>
      <c r="E24" s="27">
        <f t="shared" si="5"/>
        <v>0.17850000000000002</v>
      </c>
    </row>
    <row r="25" spans="1:5" ht="14.45" x14ac:dyDescent="0.3">
      <c r="A25" s="9" t="s">
        <v>66</v>
      </c>
      <c r="B25" s="7" t="s">
        <v>63</v>
      </c>
      <c r="C25" s="114">
        <v>0.38800000000000001</v>
      </c>
      <c r="D25" s="27">
        <f t="shared" si="4"/>
        <v>0.36860000000000004</v>
      </c>
      <c r="E25" s="27">
        <f t="shared" si="5"/>
        <v>0.40739999999999998</v>
      </c>
    </row>
    <row r="26" spans="1:5" ht="14.45" x14ac:dyDescent="0.3">
      <c r="A26" s="9" t="s">
        <v>94</v>
      </c>
      <c r="B26" s="7" t="s">
        <v>80</v>
      </c>
      <c r="C26" s="115">
        <v>0.45</v>
      </c>
      <c r="D26" s="26">
        <f t="shared" si="4"/>
        <v>0.42749999999999999</v>
      </c>
      <c r="E26" s="26">
        <f t="shared" si="5"/>
        <v>0.47250000000000003</v>
      </c>
    </row>
    <row r="27" spans="1:5" x14ac:dyDescent="0.25">
      <c r="A27" s="9" t="s">
        <v>84</v>
      </c>
      <c r="B27" s="7" t="s">
        <v>81</v>
      </c>
      <c r="C27" s="32">
        <v>1</v>
      </c>
      <c r="D27" s="26">
        <f t="shared" si="4"/>
        <v>0.95</v>
      </c>
      <c r="E27" s="26">
        <f t="shared" si="5"/>
        <v>1.05</v>
      </c>
    </row>
    <row r="28" spans="1:5" ht="30" x14ac:dyDescent="0.25">
      <c r="A28" s="9" t="s">
        <v>135</v>
      </c>
      <c r="B28" s="7" t="s">
        <v>134</v>
      </c>
      <c r="C28" s="111">
        <f>1-C26</f>
        <v>0.55000000000000004</v>
      </c>
      <c r="D28" s="26">
        <f t="shared" ref="D28" si="6">C28-$I$2*C28</f>
        <v>0.52250000000000008</v>
      </c>
      <c r="E28" s="26">
        <f t="shared" ref="E28" si="7">C28+$I$2*C28</f>
        <v>0.57750000000000001</v>
      </c>
    </row>
    <row r="29" spans="1:5" x14ac:dyDescent="0.25">
      <c r="A29" s="9" t="s">
        <v>137</v>
      </c>
      <c r="B29" s="7" t="s">
        <v>136</v>
      </c>
      <c r="C29" s="109">
        <v>0.5</v>
      </c>
      <c r="D29" s="26">
        <f t="shared" ref="D29" si="8">C29-$I$2*C29</f>
        <v>0.47499999999999998</v>
      </c>
      <c r="E29" s="26">
        <f t="shared" ref="E29" si="9">C29+$I$2*C29</f>
        <v>0.52500000000000002</v>
      </c>
    </row>
    <row r="39" spans="2:2" x14ac:dyDescent="0.25">
      <c r="B39" s="116">
        <f>C14*(C16-C18)</f>
        <v>0.16800000000000001</v>
      </c>
    </row>
    <row r="40" spans="2:2" x14ac:dyDescent="0.25">
      <c r="B40" s="7">
        <f>C19*(1-C14)</f>
        <v>0.23200000000000004</v>
      </c>
    </row>
    <row r="41" spans="2:2" x14ac:dyDescent="0.25">
      <c r="B41" s="7">
        <f>B39/B40</f>
        <v>0.72413793103448265</v>
      </c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C2" sqref="C2"/>
    </sheetView>
  </sheetViews>
  <sheetFormatPr defaultColWidth="8.85546875" defaultRowHeight="15" x14ac:dyDescent="0.25"/>
  <cols>
    <col min="1" max="1" width="5" style="20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17.28515625" customWidth="1"/>
    <col min="9" max="9" width="14.28515625" bestFit="1" customWidth="1"/>
    <col min="10" max="10" width="9.7109375" bestFit="1" customWidth="1"/>
    <col min="11" max="11" width="10" bestFit="1" customWidth="1"/>
    <col min="12" max="12" width="14.85546875" bestFit="1" customWidth="1"/>
    <col min="13" max="13" width="15.140625" bestFit="1" customWidth="1"/>
    <col min="14" max="14" width="19.85546875" bestFit="1" customWidth="1"/>
    <col min="15" max="15" width="7" bestFit="1" customWidth="1"/>
    <col min="16" max="16" width="14.28515625" bestFit="1" customWidth="1"/>
    <col min="17" max="17" width="14.7109375" bestFit="1" customWidth="1"/>
    <col min="18" max="18" width="36.85546875" bestFit="1" customWidth="1"/>
    <col min="19" max="19" width="19.140625" bestFit="1" customWidth="1"/>
    <col min="20" max="20" width="19.42578125" bestFit="1" customWidth="1"/>
    <col min="21" max="21" width="62.28515625" bestFit="1" customWidth="1"/>
    <col min="22" max="22" width="17.42578125" bestFit="1" customWidth="1"/>
  </cols>
  <sheetData>
    <row r="1" spans="1:22" x14ac:dyDescent="0.3">
      <c r="A1" s="19" t="s">
        <v>31</v>
      </c>
      <c r="B1" s="11" t="s">
        <v>33</v>
      </c>
      <c r="C1" s="11" t="s">
        <v>32</v>
      </c>
      <c r="D1" s="11" t="s">
        <v>130</v>
      </c>
      <c r="E1" s="11" t="s">
        <v>131</v>
      </c>
      <c r="F1" s="11" t="s">
        <v>132</v>
      </c>
      <c r="G1" s="11" t="s">
        <v>40</v>
      </c>
      <c r="H1" s="11" t="s">
        <v>133</v>
      </c>
      <c r="I1" s="11" t="s">
        <v>121</v>
      </c>
      <c r="J1" s="11" t="s">
        <v>122</v>
      </c>
      <c r="K1" s="11" t="s">
        <v>123</v>
      </c>
      <c r="L1" s="11" t="s">
        <v>124</v>
      </c>
      <c r="M1" s="11" t="s">
        <v>125</v>
      </c>
      <c r="N1" s="11" t="s">
        <v>127</v>
      </c>
      <c r="O1" s="11" t="s">
        <v>70</v>
      </c>
      <c r="P1" s="11" t="s">
        <v>71</v>
      </c>
      <c r="Q1" s="11" t="s">
        <v>126</v>
      </c>
      <c r="R1" s="11" t="s">
        <v>99</v>
      </c>
      <c r="S1" s="11" t="s">
        <v>128</v>
      </c>
      <c r="T1" s="11" t="s">
        <v>129</v>
      </c>
      <c r="U1" s="90" t="s">
        <v>108</v>
      </c>
      <c r="V1" s="16"/>
    </row>
    <row r="2" spans="1:22" x14ac:dyDescent="0.3">
      <c r="A2" s="12">
        <v>2007</v>
      </c>
      <c r="B2" s="12"/>
      <c r="C2" s="39">
        <f>G2*7.2/100</f>
        <v>3075.4079999999999</v>
      </c>
      <c r="D2" s="13">
        <v>0.7</v>
      </c>
      <c r="E2" s="13">
        <v>0.75</v>
      </c>
      <c r="F2" s="13">
        <v>0.8</v>
      </c>
      <c r="G2" s="37">
        <f>42714</f>
        <v>42714</v>
      </c>
      <c r="H2" s="88">
        <v>2.32876712328767E-2</v>
      </c>
      <c r="I2" s="88">
        <v>3.4931506849315071E-2</v>
      </c>
      <c r="J2" s="39">
        <f t="shared" ref="J2:J12" si="0">G2-K2</f>
        <v>39638.591999999997</v>
      </c>
      <c r="K2" s="39">
        <f t="shared" ref="K2:K12" si="1">C2</f>
        <v>3075.4079999999999</v>
      </c>
      <c r="L2" s="72">
        <f>ROUND(H2*J2,0)</f>
        <v>923</v>
      </c>
      <c r="M2" s="72">
        <f t="shared" ref="M2" si="2">ROUND(I2*K2,0)</f>
        <v>107</v>
      </c>
      <c r="N2" s="13">
        <v>1007</v>
      </c>
      <c r="O2" s="76">
        <v>0.81</v>
      </c>
      <c r="P2" s="76">
        <v>0.82</v>
      </c>
      <c r="Q2" s="77">
        <f>N2*O2*P2</f>
        <v>668.84940000000006</v>
      </c>
      <c r="R2" s="73">
        <v>0.17</v>
      </c>
      <c r="S2" s="75">
        <f>Q2-T2</f>
        <v>555.14500200000009</v>
      </c>
      <c r="T2" s="75">
        <f>Q2*R2</f>
        <v>113.70439800000001</v>
      </c>
      <c r="U2" s="17"/>
      <c r="V2" s="17"/>
    </row>
    <row r="3" spans="1:22" x14ac:dyDescent="0.3">
      <c r="A3" s="12">
        <v>2008</v>
      </c>
      <c r="B3" s="14"/>
      <c r="C3" s="39">
        <f t="shared" ref="C3:C12" si="3">G3*7.2/100</f>
        <v>3229.1784000000002</v>
      </c>
      <c r="D3" s="12"/>
      <c r="E3" s="12"/>
      <c r="F3" s="12"/>
      <c r="G3" s="39">
        <f>1.05*G2</f>
        <v>44849.700000000004</v>
      </c>
      <c r="H3" s="88"/>
      <c r="I3" s="88"/>
      <c r="J3" s="39">
        <f t="shared" si="0"/>
        <v>41620.521600000007</v>
      </c>
      <c r="K3" s="39">
        <f t="shared" si="1"/>
        <v>3229.1784000000002</v>
      </c>
      <c r="L3" s="15"/>
      <c r="M3" s="15"/>
      <c r="N3" s="13">
        <v>922</v>
      </c>
      <c r="O3" s="76">
        <v>0.81</v>
      </c>
      <c r="P3" s="76">
        <v>0.82</v>
      </c>
      <c r="Q3" s="77">
        <f t="shared" ref="Q3:Q12" si="4">N3*O3*P3</f>
        <v>612.39239999999995</v>
      </c>
      <c r="R3" s="73">
        <v>0.17</v>
      </c>
      <c r="S3" s="75">
        <f t="shared" ref="S3:S12" si="5">Q3-T3</f>
        <v>508.28569199999993</v>
      </c>
      <c r="T3" s="75">
        <f t="shared" ref="T3:T12" si="6">Q3*R3</f>
        <v>104.106708</v>
      </c>
      <c r="U3" s="17"/>
      <c r="V3" s="17"/>
    </row>
    <row r="4" spans="1:22" x14ac:dyDescent="0.3">
      <c r="A4" s="12">
        <v>2009</v>
      </c>
      <c r="B4" s="14"/>
      <c r="C4" s="39">
        <f t="shared" si="3"/>
        <v>3390.6373200000003</v>
      </c>
      <c r="D4" s="12"/>
      <c r="E4" s="12"/>
      <c r="F4" s="12"/>
      <c r="G4" s="39">
        <f t="shared" ref="G4:G11" si="7">1.05*G3</f>
        <v>47092.185000000005</v>
      </c>
      <c r="H4" s="88"/>
      <c r="I4" s="88"/>
      <c r="J4" s="39">
        <f t="shared" si="0"/>
        <v>43701.547680000003</v>
      </c>
      <c r="K4" s="39">
        <f t="shared" si="1"/>
        <v>3390.6373200000003</v>
      </c>
      <c r="L4" s="15"/>
      <c r="M4" s="15"/>
      <c r="N4" s="13">
        <v>1480</v>
      </c>
      <c r="O4" s="76">
        <v>0.81</v>
      </c>
      <c r="P4" s="76">
        <v>0.82</v>
      </c>
      <c r="Q4" s="77">
        <f t="shared" si="4"/>
        <v>983.01600000000008</v>
      </c>
      <c r="R4" s="73">
        <v>0.17</v>
      </c>
      <c r="S4" s="75">
        <f t="shared" si="5"/>
        <v>815.90328</v>
      </c>
      <c r="T4" s="75">
        <f t="shared" si="6"/>
        <v>167.11272000000002</v>
      </c>
      <c r="U4" s="18"/>
      <c r="V4" s="18"/>
    </row>
    <row r="5" spans="1:22" x14ac:dyDescent="0.3">
      <c r="A5" s="12">
        <v>2010</v>
      </c>
      <c r="B5" s="13">
        <v>178</v>
      </c>
      <c r="C5" s="39">
        <f t="shared" si="3"/>
        <v>3560.1691860000005</v>
      </c>
      <c r="D5" s="13">
        <v>0.7</v>
      </c>
      <c r="E5" s="13">
        <v>0.75</v>
      </c>
      <c r="F5" s="13">
        <v>0.8</v>
      </c>
      <c r="G5" s="39">
        <f t="shared" si="7"/>
        <v>49446.794250000006</v>
      </c>
      <c r="H5" s="88">
        <v>4.0273972602739724E-2</v>
      </c>
      <c r="I5" s="88">
        <v>4.3150684931506846E-2</v>
      </c>
      <c r="J5" s="39">
        <f t="shared" si="0"/>
        <v>45886.625064000007</v>
      </c>
      <c r="K5" s="39">
        <f t="shared" si="1"/>
        <v>3560.1691860000005</v>
      </c>
      <c r="L5" s="71">
        <f t="shared" ref="L5:L11" si="8">ROUND(H5*J5,0)</f>
        <v>1848</v>
      </c>
      <c r="M5" s="71">
        <f t="shared" ref="M5:M12" si="9">ROUND(I5*K5,0)</f>
        <v>154</v>
      </c>
      <c r="N5" s="13">
        <v>1758</v>
      </c>
      <c r="O5" s="76">
        <v>0.81</v>
      </c>
      <c r="P5" s="76">
        <v>0.82</v>
      </c>
      <c r="Q5" s="77">
        <f t="shared" si="4"/>
        <v>1167.6635999999999</v>
      </c>
      <c r="R5" s="73">
        <v>0.17</v>
      </c>
      <c r="S5" s="75">
        <f t="shared" si="5"/>
        <v>969.16078799999991</v>
      </c>
      <c r="T5" s="75">
        <f t="shared" si="6"/>
        <v>198.50281199999998</v>
      </c>
      <c r="U5" s="18"/>
      <c r="V5" s="18"/>
    </row>
    <row r="6" spans="1:22" x14ac:dyDescent="0.3">
      <c r="A6" s="12">
        <v>2011</v>
      </c>
      <c r="B6" s="13">
        <v>218</v>
      </c>
      <c r="C6" s="39">
        <f t="shared" si="3"/>
        <v>3738.1776453000011</v>
      </c>
      <c r="D6" s="12"/>
      <c r="E6" s="12"/>
      <c r="F6" s="12"/>
      <c r="G6" s="39">
        <f t="shared" si="7"/>
        <v>51919.133962500011</v>
      </c>
      <c r="H6" s="88">
        <v>3.7534246575342468E-2</v>
      </c>
      <c r="I6" s="88">
        <v>4.726027397260274E-2</v>
      </c>
      <c r="J6" s="39">
        <f t="shared" si="0"/>
        <v>48180.956317200013</v>
      </c>
      <c r="K6" s="39">
        <f t="shared" si="1"/>
        <v>3738.1776453000011</v>
      </c>
      <c r="L6" s="71">
        <f t="shared" si="8"/>
        <v>1808</v>
      </c>
      <c r="M6" s="71">
        <f t="shared" si="9"/>
        <v>177</v>
      </c>
      <c r="N6" s="13">
        <v>1863</v>
      </c>
      <c r="O6" s="76">
        <v>0.81</v>
      </c>
      <c r="P6" s="76">
        <v>0.82</v>
      </c>
      <c r="Q6" s="77">
        <f t="shared" si="4"/>
        <v>1237.4046000000001</v>
      </c>
      <c r="R6" s="73">
        <v>0.17</v>
      </c>
      <c r="S6" s="75">
        <f t="shared" si="5"/>
        <v>1027.0458180000001</v>
      </c>
      <c r="T6" s="75">
        <f t="shared" si="6"/>
        <v>210.35878200000002</v>
      </c>
      <c r="U6" s="18"/>
      <c r="V6" s="18"/>
    </row>
    <row r="7" spans="1:22" x14ac:dyDescent="0.3">
      <c r="A7" s="12">
        <v>2012</v>
      </c>
      <c r="B7" s="13">
        <v>200</v>
      </c>
      <c r="C7" s="39">
        <f t="shared" si="3"/>
        <v>3925.0865275650012</v>
      </c>
      <c r="D7" s="13">
        <v>0.91200000000000003</v>
      </c>
      <c r="E7" s="13">
        <v>0.82</v>
      </c>
      <c r="F7" s="13">
        <v>0.88</v>
      </c>
      <c r="G7" s="39">
        <f t="shared" si="7"/>
        <v>54515.090660625014</v>
      </c>
      <c r="H7" s="88">
        <v>4.876712328767123E-2</v>
      </c>
      <c r="I7" s="88">
        <v>5.3835616438356167E-2</v>
      </c>
      <c r="J7" s="39">
        <f t="shared" si="0"/>
        <v>50590.004133060014</v>
      </c>
      <c r="K7" s="39">
        <f t="shared" si="1"/>
        <v>3925.0865275650012</v>
      </c>
      <c r="L7" s="71">
        <f t="shared" si="8"/>
        <v>2467</v>
      </c>
      <c r="M7" s="71">
        <f t="shared" si="9"/>
        <v>211</v>
      </c>
      <c r="N7" s="13">
        <v>2436</v>
      </c>
      <c r="O7" s="76">
        <v>0.81</v>
      </c>
      <c r="P7" s="76">
        <v>0.82</v>
      </c>
      <c r="Q7" s="77">
        <f t="shared" si="4"/>
        <v>1617.9911999999999</v>
      </c>
      <c r="R7" s="73">
        <v>0.17</v>
      </c>
      <c r="S7" s="75">
        <f t="shared" si="5"/>
        <v>1342.9326959999999</v>
      </c>
      <c r="T7" s="75">
        <f t="shared" si="6"/>
        <v>275.05850400000003</v>
      </c>
      <c r="U7" s="18"/>
      <c r="V7" s="18"/>
    </row>
    <row r="8" spans="1:22" x14ac:dyDescent="0.3">
      <c r="A8" s="12">
        <v>2013</v>
      </c>
      <c r="B8" s="13">
        <v>218</v>
      </c>
      <c r="C8" s="39">
        <f t="shared" si="3"/>
        <v>4121.3408539432512</v>
      </c>
      <c r="D8" s="13">
        <v>0.91200000000000003</v>
      </c>
      <c r="E8" s="38">
        <v>0.86</v>
      </c>
      <c r="F8" s="13">
        <v>0.9</v>
      </c>
      <c r="G8" s="39">
        <f t="shared" si="7"/>
        <v>57240.845193656263</v>
      </c>
      <c r="H8" s="88">
        <v>5.2876712328767124E-2</v>
      </c>
      <c r="I8" s="88">
        <v>6.2671232876712321E-2</v>
      </c>
      <c r="J8" s="39">
        <f t="shared" si="0"/>
        <v>53119.504339713014</v>
      </c>
      <c r="K8" s="39">
        <f t="shared" si="1"/>
        <v>4121.3408539432512</v>
      </c>
      <c r="L8" s="71">
        <f t="shared" si="8"/>
        <v>2809</v>
      </c>
      <c r="M8" s="71">
        <f t="shared" si="9"/>
        <v>258</v>
      </c>
      <c r="N8" s="13">
        <v>2978</v>
      </c>
      <c r="O8" s="76">
        <v>0.81</v>
      </c>
      <c r="P8" s="76">
        <v>0.82</v>
      </c>
      <c r="Q8" s="77">
        <f t="shared" si="4"/>
        <v>1977.9876000000002</v>
      </c>
      <c r="R8" s="73">
        <v>0.17</v>
      </c>
      <c r="S8" s="75">
        <f t="shared" si="5"/>
        <v>1641.7297080000001</v>
      </c>
      <c r="T8" s="75">
        <f t="shared" si="6"/>
        <v>336.25789200000003</v>
      </c>
      <c r="U8" s="18"/>
      <c r="V8" s="18"/>
    </row>
    <row r="9" spans="1:22" x14ac:dyDescent="0.3">
      <c r="A9" s="12">
        <v>2014</v>
      </c>
      <c r="B9" s="13">
        <v>219</v>
      </c>
      <c r="C9" s="39">
        <f t="shared" si="3"/>
        <v>4327.407896640414</v>
      </c>
      <c r="D9" s="13">
        <v>0.91200000000000003</v>
      </c>
      <c r="E9" s="38">
        <v>0.89</v>
      </c>
      <c r="F9" s="38">
        <v>0.9</v>
      </c>
      <c r="G9" s="39">
        <f t="shared" si="7"/>
        <v>60102.887453339077</v>
      </c>
      <c r="H9" s="88">
        <v>5.1506849315068493E-2</v>
      </c>
      <c r="I9" s="88">
        <v>5.321917808219178E-2</v>
      </c>
      <c r="J9" s="39">
        <f t="shared" si="0"/>
        <v>55775.479556698665</v>
      </c>
      <c r="K9" s="39">
        <f t="shared" si="1"/>
        <v>4327.407896640414</v>
      </c>
      <c r="L9" s="71">
        <f t="shared" si="8"/>
        <v>2873</v>
      </c>
      <c r="M9" s="71">
        <f t="shared" si="9"/>
        <v>230</v>
      </c>
      <c r="N9" s="13">
        <v>3269</v>
      </c>
      <c r="O9" s="76">
        <v>0.81</v>
      </c>
      <c r="P9" s="76">
        <v>0.82</v>
      </c>
      <c r="Q9" s="77">
        <f t="shared" si="4"/>
        <v>2171.2698</v>
      </c>
      <c r="R9" s="73">
        <v>0.17</v>
      </c>
      <c r="S9" s="75">
        <f t="shared" si="5"/>
        <v>1802.1539339999999</v>
      </c>
      <c r="T9" s="75">
        <f t="shared" si="6"/>
        <v>369.11586600000004</v>
      </c>
      <c r="U9" s="18"/>
      <c r="V9" s="18"/>
    </row>
    <row r="10" spans="1:22" x14ac:dyDescent="0.3">
      <c r="A10" s="12">
        <v>2015</v>
      </c>
      <c r="B10" s="13">
        <v>206</v>
      </c>
      <c r="C10" s="39">
        <f t="shared" si="3"/>
        <v>4543.7782914724339</v>
      </c>
      <c r="D10" s="13">
        <v>0.91200000000000003</v>
      </c>
      <c r="E10" s="13">
        <v>0.92</v>
      </c>
      <c r="F10" s="13">
        <v>0.92</v>
      </c>
      <c r="G10" s="39">
        <f t="shared" si="7"/>
        <v>63108.03182600603</v>
      </c>
      <c r="H10" s="88">
        <v>6.6575342465753418E-2</v>
      </c>
      <c r="I10" s="88">
        <v>6.7191780821917804E-2</v>
      </c>
      <c r="J10" s="39">
        <f t="shared" si="0"/>
        <v>58564.253534533593</v>
      </c>
      <c r="K10" s="39">
        <f t="shared" si="1"/>
        <v>4543.7782914724339</v>
      </c>
      <c r="L10" s="71">
        <f t="shared" si="8"/>
        <v>3899</v>
      </c>
      <c r="M10" s="71">
        <f t="shared" si="9"/>
        <v>305</v>
      </c>
      <c r="N10" s="13">
        <v>4865</v>
      </c>
      <c r="O10" s="76">
        <v>0.81</v>
      </c>
      <c r="P10" s="76">
        <v>0.82</v>
      </c>
      <c r="Q10" s="77">
        <f t="shared" si="4"/>
        <v>3231.3330000000001</v>
      </c>
      <c r="R10" s="74">
        <v>0.17</v>
      </c>
      <c r="S10" s="75">
        <f t="shared" si="5"/>
        <v>2682.00639</v>
      </c>
      <c r="T10" s="75">
        <f t="shared" si="6"/>
        <v>549.32661000000007</v>
      </c>
      <c r="U10" s="18"/>
      <c r="V10" s="18"/>
    </row>
    <row r="11" spans="1:22" x14ac:dyDescent="0.3">
      <c r="A11" s="12">
        <v>2016</v>
      </c>
      <c r="B11" s="13">
        <v>233</v>
      </c>
      <c r="C11" s="39">
        <f t="shared" si="3"/>
        <v>4770.9672060460571</v>
      </c>
      <c r="D11" s="13">
        <v>0.91200000000000003</v>
      </c>
      <c r="E11" s="13">
        <v>0.95</v>
      </c>
      <c r="F11" s="13">
        <v>0.94</v>
      </c>
      <c r="G11" s="39">
        <f t="shared" si="7"/>
        <v>66263.43341730634</v>
      </c>
      <c r="H11" s="88">
        <v>6.3287671232876708E-2</v>
      </c>
      <c r="I11" s="88">
        <v>6.9246575342465755E-2</v>
      </c>
      <c r="J11" s="39">
        <f t="shared" si="0"/>
        <v>61492.466211260282</v>
      </c>
      <c r="K11" s="39">
        <f t="shared" si="1"/>
        <v>4770.9672060460571</v>
      </c>
      <c r="L11" s="71">
        <f t="shared" si="8"/>
        <v>3892</v>
      </c>
      <c r="M11" s="71">
        <f t="shared" si="9"/>
        <v>330</v>
      </c>
      <c r="N11" s="13">
        <v>6265</v>
      </c>
      <c r="O11" s="76">
        <v>0.81</v>
      </c>
      <c r="P11" s="76">
        <v>0.82</v>
      </c>
      <c r="Q11" s="77">
        <f t="shared" si="4"/>
        <v>4161.2130000000006</v>
      </c>
      <c r="R11" s="74">
        <v>0.13</v>
      </c>
      <c r="S11" s="75">
        <f t="shared" si="5"/>
        <v>3620.2553100000005</v>
      </c>
      <c r="T11" s="75">
        <f t="shared" si="6"/>
        <v>540.95769000000007</v>
      </c>
      <c r="U11" s="91">
        <v>0.18</v>
      </c>
    </row>
    <row r="12" spans="1:22" x14ac:dyDescent="0.3">
      <c r="A12" s="12">
        <v>2017</v>
      </c>
      <c r="B12" s="13">
        <v>194</v>
      </c>
      <c r="C12" s="39">
        <f t="shared" si="3"/>
        <v>5009.5155663483602</v>
      </c>
      <c r="D12" s="12"/>
      <c r="E12" s="12"/>
      <c r="F12" s="12"/>
      <c r="G12" s="39">
        <f>1.05*G11</f>
        <v>69576.605088171666</v>
      </c>
      <c r="H12" s="88">
        <f>0.01*(PrEPX!B12*PrEPX!B15+PrEPX!B3*PrEPX!B6)/(PrEPX!B3+PrEPX!B12)</f>
        <v>4.4545382820313367E-2</v>
      </c>
      <c r="I12" s="88">
        <v>4.6699999999999998E-2</v>
      </c>
      <c r="J12" s="39">
        <f t="shared" si="0"/>
        <v>64567.089521823305</v>
      </c>
      <c r="K12" s="39">
        <f t="shared" si="1"/>
        <v>5009.5155663483602</v>
      </c>
      <c r="L12" s="15"/>
      <c r="M12" s="71">
        <f t="shared" si="9"/>
        <v>234</v>
      </c>
      <c r="N12" s="13">
        <v>7289</v>
      </c>
      <c r="O12" s="76">
        <v>0.81</v>
      </c>
      <c r="P12" s="76">
        <v>0.7</v>
      </c>
      <c r="Q12" s="77">
        <f t="shared" si="4"/>
        <v>4132.8630000000003</v>
      </c>
      <c r="R12" s="73">
        <v>0.1</v>
      </c>
      <c r="S12" s="75">
        <f t="shared" si="5"/>
        <v>3719.5767000000001</v>
      </c>
      <c r="T12" s="75">
        <f t="shared" si="6"/>
        <v>413.28630000000004</v>
      </c>
    </row>
    <row r="13" spans="1:22" x14ac:dyDescent="0.3">
      <c r="A13" s="12">
        <v>2018</v>
      </c>
      <c r="B13" s="12"/>
      <c r="C13" s="21"/>
      <c r="G13" s="15"/>
    </row>
    <row r="14" spans="1:22" x14ac:dyDescent="0.3">
      <c r="B14" s="12"/>
      <c r="J14" s="87"/>
    </row>
    <row r="15" spans="1:22" x14ac:dyDescent="0.3">
      <c r="B15" s="12"/>
      <c r="J15" s="87"/>
    </row>
    <row r="16" spans="1:22" x14ac:dyDescent="0.3">
      <c r="B16" s="12"/>
      <c r="G16" s="12"/>
    </row>
    <row r="17" spans="2:7" x14ac:dyDescent="0.3">
      <c r="B17" s="12"/>
      <c r="G17" s="12"/>
    </row>
    <row r="18" spans="2:7" x14ac:dyDescent="0.3">
      <c r="B18" s="12"/>
      <c r="G18" s="12"/>
    </row>
    <row r="19" spans="2:7" x14ac:dyDescent="0.3">
      <c r="B19" s="12"/>
      <c r="G19" s="12"/>
    </row>
    <row r="20" spans="2:7" x14ac:dyDescent="0.3">
      <c r="B20" s="12"/>
      <c r="G20" s="12"/>
    </row>
    <row r="21" spans="2:7" x14ac:dyDescent="0.3">
      <c r="B21" s="12"/>
      <c r="G21" s="12"/>
    </row>
    <row r="22" spans="2:7" x14ac:dyDescent="0.3">
      <c r="G22" s="12"/>
    </row>
    <row r="23" spans="2:7" x14ac:dyDescent="0.3">
      <c r="G23" s="12"/>
    </row>
    <row r="24" spans="2:7" x14ac:dyDescent="0.3">
      <c r="G24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"/>
  <sheetViews>
    <sheetView zoomScale="85" zoomScaleNormal="85" workbookViewId="0">
      <pane xSplit="1" topLeftCell="B1" activePane="topRight" state="frozen"/>
      <selection pane="topRight" activeCell="B10" sqref="B10"/>
    </sheetView>
  </sheetViews>
  <sheetFormatPr defaultRowHeight="15" x14ac:dyDescent="0.25"/>
  <cols>
    <col min="1" max="1" width="5" bestFit="1" customWidth="1"/>
    <col min="2" max="2" width="28.5703125" bestFit="1" customWidth="1"/>
    <col min="3" max="3" width="29.85546875" bestFit="1" customWidth="1"/>
    <col min="4" max="4" width="39.5703125" bestFit="1" customWidth="1"/>
    <col min="5" max="5" width="35.7109375" bestFit="1" customWidth="1"/>
    <col min="6" max="6" width="31.28515625" bestFit="1" customWidth="1"/>
    <col min="7" max="7" width="26.7109375" bestFit="1" customWidth="1"/>
    <col min="8" max="8" width="23.85546875" bestFit="1" customWidth="1"/>
    <col min="9" max="9" width="43" customWidth="1"/>
    <col min="10" max="10" width="24.28515625" bestFit="1" customWidth="1"/>
    <col min="11" max="11" width="21.5703125" bestFit="1" customWidth="1"/>
    <col min="12" max="12" width="17" bestFit="1" customWidth="1"/>
    <col min="13" max="13" width="47.140625" bestFit="1" customWidth="1"/>
    <col min="14" max="14" width="44.140625" bestFit="1" customWidth="1"/>
    <col min="15" max="15" width="39.5703125" bestFit="1" customWidth="1"/>
    <col min="16" max="16" width="47.85546875" bestFit="1" customWidth="1"/>
    <col min="17" max="17" width="44.85546875" bestFit="1" customWidth="1"/>
    <col min="18" max="18" width="40.28515625" bestFit="1" customWidth="1"/>
    <col min="19" max="19" width="21.5703125" bestFit="1" customWidth="1"/>
    <col min="20" max="20" width="18.7109375" bestFit="1" customWidth="1"/>
    <col min="21" max="21" width="14.28515625" bestFit="1" customWidth="1"/>
    <col min="22" max="22" width="26.5703125" bestFit="1" customWidth="1"/>
    <col min="23" max="23" width="23.7109375" bestFit="1" customWidth="1"/>
    <col min="24" max="24" width="19.28515625" bestFit="1" customWidth="1"/>
  </cols>
  <sheetData>
    <row r="1" spans="1:24" x14ac:dyDescent="0.3">
      <c r="A1" t="s">
        <v>31</v>
      </c>
      <c r="B1" s="60" t="s">
        <v>57</v>
      </c>
      <c r="C1" s="57" t="s">
        <v>50</v>
      </c>
      <c r="D1" s="49" t="s">
        <v>51</v>
      </c>
      <c r="E1" s="50" t="s">
        <v>53</v>
      </c>
      <c r="F1" s="51" t="s">
        <v>52</v>
      </c>
      <c r="G1" s="44" t="s">
        <v>54</v>
      </c>
      <c r="H1" s="45" t="s">
        <v>55</v>
      </c>
      <c r="I1" s="46" t="s">
        <v>56</v>
      </c>
      <c r="J1" s="41" t="s">
        <v>58</v>
      </c>
      <c r="K1" s="28" t="s">
        <v>60</v>
      </c>
      <c r="L1" s="28" t="s">
        <v>59</v>
      </c>
      <c r="M1" s="44" t="s">
        <v>102</v>
      </c>
      <c r="N1" s="45" t="s">
        <v>103</v>
      </c>
      <c r="O1" s="46" t="s">
        <v>104</v>
      </c>
      <c r="P1" s="49" t="s">
        <v>105</v>
      </c>
      <c r="Q1" s="45" t="s">
        <v>106</v>
      </c>
      <c r="R1" s="51" t="s">
        <v>107</v>
      </c>
      <c r="S1" s="49" t="s">
        <v>72</v>
      </c>
      <c r="T1" s="50" t="s">
        <v>73</v>
      </c>
      <c r="U1" s="51" t="s">
        <v>74</v>
      </c>
      <c r="V1" s="49" t="s">
        <v>77</v>
      </c>
      <c r="W1" s="50" t="s">
        <v>75</v>
      </c>
      <c r="X1" s="51" t="s">
        <v>76</v>
      </c>
    </row>
    <row r="2" spans="1:24" x14ac:dyDescent="0.3">
      <c r="A2">
        <v>2000</v>
      </c>
      <c r="B2" s="61">
        <v>0.01</v>
      </c>
      <c r="C2" s="58"/>
      <c r="D2" s="42">
        <v>0.33333333333333331</v>
      </c>
      <c r="E2" s="52">
        <v>0.33333333333333331</v>
      </c>
      <c r="F2" s="53">
        <v>0.33333333333333331</v>
      </c>
      <c r="G2" s="36">
        <f>pars!$C$14</f>
        <v>0.42</v>
      </c>
      <c r="H2" s="64">
        <f>pars!C14*pars!C17</f>
        <v>0.126</v>
      </c>
      <c r="I2" s="67">
        <f>G2*pars!C17</f>
        <v>0.126</v>
      </c>
      <c r="J2" s="43">
        <v>0.69</v>
      </c>
      <c r="K2" s="40">
        <v>0.69</v>
      </c>
      <c r="L2" s="40">
        <v>0.9</v>
      </c>
      <c r="M2" s="92">
        <f>365*((PrEPX!C3/PrEPX!C5)+(PrEPX!D3/PrEPX!D5))/(PrEPX!C3+PrEPX!D3)</f>
        <v>239.17702721631844</v>
      </c>
      <c r="N2" s="92">
        <v>90</v>
      </c>
      <c r="O2" s="92">
        <f>365*((PrEPX!C21/PrEPX!C23)+(PrEPX!D21/PrEPX!D23))/(PrEPX!C21+PrEPX!D21)</f>
        <v>191.92035691894674</v>
      </c>
      <c r="P2" s="92">
        <f>365/PrEPX!E5</f>
        <v>91.25</v>
      </c>
      <c r="Q2" s="101">
        <v>90</v>
      </c>
      <c r="R2" s="102">
        <f>365/PrEPX!E23</f>
        <v>101.38888888888889</v>
      </c>
      <c r="S2" s="42">
        <v>0</v>
      </c>
      <c r="T2" s="52">
        <v>0</v>
      </c>
      <c r="U2" s="53">
        <v>0</v>
      </c>
      <c r="V2" s="42">
        <v>0</v>
      </c>
      <c r="W2" s="52">
        <v>0</v>
      </c>
      <c r="X2" s="53">
        <v>0</v>
      </c>
    </row>
    <row r="3" spans="1:24" x14ac:dyDescent="0.3">
      <c r="A3">
        <v>2010</v>
      </c>
      <c r="B3" s="62">
        <v>0.03</v>
      </c>
      <c r="C3" s="58">
        <v>1</v>
      </c>
      <c r="D3" s="42"/>
      <c r="E3" s="52"/>
      <c r="F3" s="53"/>
      <c r="G3" s="1"/>
      <c r="H3" s="47"/>
      <c r="I3" s="48"/>
      <c r="J3" s="43"/>
      <c r="K3" s="40"/>
      <c r="L3" s="40"/>
      <c r="M3" s="83"/>
      <c r="N3" s="84"/>
      <c r="O3" s="85"/>
      <c r="P3" s="81"/>
      <c r="Q3" s="84"/>
      <c r="R3" s="82"/>
      <c r="S3" s="41"/>
      <c r="T3" s="70"/>
      <c r="U3" s="69"/>
      <c r="V3" s="41"/>
      <c r="W3" s="70"/>
      <c r="X3" s="69"/>
    </row>
    <row r="4" spans="1:24" x14ac:dyDescent="0.3">
      <c r="A4">
        <v>2016</v>
      </c>
      <c r="B4" s="62">
        <v>0.06</v>
      </c>
      <c r="C4" s="58"/>
      <c r="D4" s="42"/>
      <c r="E4" s="52"/>
      <c r="F4" s="53"/>
      <c r="G4" s="1"/>
      <c r="H4" s="47"/>
      <c r="I4" s="48"/>
      <c r="J4" s="43"/>
      <c r="K4" s="40"/>
      <c r="L4" s="40"/>
      <c r="M4" s="83"/>
      <c r="N4" s="84"/>
      <c r="O4" s="85"/>
      <c r="P4" s="81"/>
      <c r="Q4" s="84"/>
      <c r="R4" s="82"/>
      <c r="S4" s="41"/>
      <c r="T4" s="70"/>
      <c r="U4" s="69"/>
      <c r="V4" s="41"/>
      <c r="W4" s="70"/>
      <c r="X4" s="69"/>
    </row>
    <row r="5" spans="1:24" s="93" customFormat="1" x14ac:dyDescent="0.3">
      <c r="A5" s="93">
        <v>2018</v>
      </c>
      <c r="B5" s="62">
        <v>0.18</v>
      </c>
      <c r="C5" s="58"/>
      <c r="D5" s="42"/>
      <c r="E5" s="52"/>
      <c r="F5" s="53"/>
      <c r="G5" s="97"/>
      <c r="H5" s="99"/>
      <c r="I5" s="100"/>
      <c r="J5" s="43"/>
      <c r="K5" s="40"/>
      <c r="L5" s="40"/>
      <c r="M5" s="83"/>
      <c r="N5" s="84"/>
      <c r="O5" s="85"/>
      <c r="P5" s="81"/>
      <c r="Q5" s="84"/>
      <c r="R5" s="82"/>
      <c r="S5" s="41"/>
      <c r="T5" s="70"/>
      <c r="U5" s="69"/>
      <c r="V5" s="41"/>
      <c r="W5" s="70"/>
      <c r="X5" s="69"/>
    </row>
    <row r="6" spans="1:24" s="93" customFormat="1" x14ac:dyDescent="0.3">
      <c r="A6" s="93">
        <v>2019</v>
      </c>
      <c r="B6" s="62">
        <v>0.28000000000000003</v>
      </c>
      <c r="C6" s="58"/>
      <c r="D6" s="42"/>
      <c r="E6" s="52"/>
      <c r="F6" s="53"/>
      <c r="G6" s="97"/>
      <c r="H6" s="99"/>
      <c r="I6" s="100"/>
      <c r="J6" s="43"/>
      <c r="K6" s="40"/>
      <c r="L6" s="40"/>
      <c r="M6" s="83"/>
      <c r="N6" s="84"/>
      <c r="O6" s="85"/>
      <c r="P6" s="81"/>
      <c r="Q6" s="84"/>
      <c r="R6" s="82"/>
      <c r="S6" s="41"/>
      <c r="T6" s="70"/>
      <c r="U6" s="69"/>
      <c r="V6" s="41"/>
      <c r="W6" s="70"/>
      <c r="X6" s="69"/>
    </row>
    <row r="7" spans="1:24" s="93" customFormat="1" x14ac:dyDescent="0.3">
      <c r="A7" s="93">
        <v>2025</v>
      </c>
      <c r="B7" s="62"/>
      <c r="C7" s="58"/>
      <c r="D7" s="42"/>
      <c r="E7" s="52"/>
      <c r="F7" s="53"/>
      <c r="G7" s="97"/>
      <c r="H7" s="99"/>
      <c r="I7" s="100"/>
      <c r="J7" s="43"/>
      <c r="K7" s="40"/>
      <c r="L7" s="40"/>
      <c r="M7" s="83"/>
      <c r="N7" s="84"/>
      <c r="O7" s="85"/>
      <c r="P7" s="81"/>
      <c r="Q7" s="84"/>
      <c r="R7" s="82"/>
      <c r="S7" s="41"/>
      <c r="T7" s="70"/>
      <c r="U7" s="69"/>
      <c r="V7" s="41"/>
      <c r="W7" s="70"/>
      <c r="X7" s="69"/>
    </row>
    <row r="8" spans="1:24" x14ac:dyDescent="0.3">
      <c r="A8">
        <v>2030</v>
      </c>
      <c r="B8" s="62"/>
      <c r="C8" s="58">
        <v>1</v>
      </c>
      <c r="D8" s="42"/>
      <c r="E8" s="52"/>
      <c r="F8" s="53"/>
      <c r="G8" s="1"/>
      <c r="H8" s="47"/>
      <c r="I8" s="48"/>
      <c r="J8" s="43"/>
      <c r="K8" s="40"/>
      <c r="L8" s="40"/>
      <c r="M8" s="83"/>
      <c r="N8" s="84"/>
      <c r="O8" s="85"/>
      <c r="P8" s="81"/>
      <c r="Q8" s="84"/>
      <c r="R8" s="82"/>
      <c r="S8" s="41"/>
      <c r="T8" s="70"/>
      <c r="U8" s="69"/>
      <c r="V8" s="41"/>
      <c r="W8" s="70"/>
      <c r="X8" s="69"/>
    </row>
    <row r="9" spans="1:24" x14ac:dyDescent="0.3">
      <c r="A9">
        <v>2040</v>
      </c>
      <c r="B9" s="62">
        <v>0.28000000000000003</v>
      </c>
      <c r="C9" s="59">
        <v>1</v>
      </c>
      <c r="D9" s="54">
        <v>0.33333333333333331</v>
      </c>
      <c r="E9" s="55">
        <v>0.33333333333333331</v>
      </c>
      <c r="F9" s="56">
        <v>0.33333333333333331</v>
      </c>
      <c r="G9" s="66">
        <f>$G$2</f>
        <v>0.42</v>
      </c>
      <c r="H9" s="65">
        <f>H2</f>
        <v>0.126</v>
      </c>
      <c r="I9" s="68">
        <f>I2</f>
        <v>0.126</v>
      </c>
      <c r="J9" s="43">
        <v>0.69</v>
      </c>
      <c r="K9" s="40">
        <v>0.69</v>
      </c>
      <c r="L9" s="40">
        <v>0.9</v>
      </c>
      <c r="M9" s="92">
        <f t="shared" ref="M9:R9" si="0">M2</f>
        <v>239.17702721631844</v>
      </c>
      <c r="N9" s="92">
        <v>90</v>
      </c>
      <c r="O9" s="92">
        <f t="shared" si="0"/>
        <v>191.92035691894674</v>
      </c>
      <c r="P9" s="92">
        <f t="shared" si="0"/>
        <v>91.25</v>
      </c>
      <c r="Q9" s="101">
        <v>90</v>
      </c>
      <c r="R9" s="102">
        <f t="shared" si="0"/>
        <v>101.38888888888889</v>
      </c>
      <c r="S9" s="54">
        <v>0</v>
      </c>
      <c r="T9" s="55">
        <v>0</v>
      </c>
      <c r="U9" s="56">
        <v>0</v>
      </c>
      <c r="V9" s="54">
        <v>0</v>
      </c>
      <c r="W9" s="55">
        <v>0</v>
      </c>
      <c r="X9" s="56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"/>
  <sheetViews>
    <sheetView zoomScale="85" zoomScaleNormal="85" workbookViewId="0">
      <pane xSplit="1" topLeftCell="L1" activePane="topRight" state="frozen"/>
      <selection pane="topRight" activeCell="M2" sqref="M2"/>
    </sheetView>
  </sheetViews>
  <sheetFormatPr defaultColWidth="9.140625" defaultRowHeight="15" x14ac:dyDescent="0.25"/>
  <cols>
    <col min="1" max="1" width="5" style="93" bestFit="1" customWidth="1"/>
    <col min="2" max="2" width="28.5703125" style="93" bestFit="1" customWidth="1"/>
    <col min="3" max="3" width="29.85546875" style="93" bestFit="1" customWidth="1"/>
    <col min="4" max="4" width="39.5703125" style="93" bestFit="1" customWidth="1"/>
    <col min="5" max="5" width="35.7109375" style="93" bestFit="1" customWidth="1"/>
    <col min="6" max="6" width="31.28515625" style="93" bestFit="1" customWidth="1"/>
    <col min="7" max="7" width="26.7109375" style="93" bestFit="1" customWidth="1"/>
    <col min="8" max="8" width="23.85546875" style="93" bestFit="1" customWidth="1"/>
    <col min="9" max="9" width="19.42578125" style="93" bestFit="1" customWidth="1"/>
    <col min="10" max="10" width="24.28515625" style="93" bestFit="1" customWidth="1"/>
    <col min="11" max="11" width="21.5703125" style="93" bestFit="1" customWidth="1"/>
    <col min="12" max="12" width="17" style="93" bestFit="1" customWidth="1"/>
    <col min="13" max="13" width="38.140625" style="93" bestFit="1" customWidth="1"/>
    <col min="14" max="14" width="35.28515625" style="93" bestFit="1" customWidth="1"/>
    <col min="15" max="15" width="30.85546875" style="93" bestFit="1" customWidth="1"/>
    <col min="16" max="16" width="45.28515625" style="93" bestFit="1" customWidth="1"/>
    <col min="17" max="17" width="42.5703125" style="93" bestFit="1" customWidth="1"/>
    <col min="18" max="18" width="38.140625" style="93" bestFit="1" customWidth="1"/>
    <col min="19" max="19" width="21.5703125" style="93" bestFit="1" customWidth="1"/>
    <col min="20" max="20" width="18.7109375" style="93" bestFit="1" customWidth="1"/>
    <col min="21" max="21" width="14.28515625" style="93" bestFit="1" customWidth="1"/>
    <col min="22" max="22" width="26.5703125" style="93" bestFit="1" customWidth="1"/>
    <col min="23" max="23" width="23.7109375" style="93" bestFit="1" customWidth="1"/>
    <col min="24" max="24" width="19.28515625" style="93" bestFit="1" customWidth="1"/>
    <col min="25" max="16384" width="9.140625" style="93"/>
  </cols>
  <sheetData>
    <row r="1" spans="1:24" x14ac:dyDescent="0.3">
      <c r="A1" s="93" t="s">
        <v>31</v>
      </c>
      <c r="B1" s="60" t="s">
        <v>57</v>
      </c>
      <c r="C1" s="57" t="s">
        <v>50</v>
      </c>
      <c r="D1" s="49" t="s">
        <v>51</v>
      </c>
      <c r="E1" s="50" t="s">
        <v>53</v>
      </c>
      <c r="F1" s="51" t="s">
        <v>52</v>
      </c>
      <c r="G1" s="94" t="s">
        <v>54</v>
      </c>
      <c r="H1" s="95" t="s">
        <v>55</v>
      </c>
      <c r="I1" s="96" t="s">
        <v>56</v>
      </c>
      <c r="J1" s="41" t="s">
        <v>58</v>
      </c>
      <c r="K1" s="28" t="s">
        <v>60</v>
      </c>
      <c r="L1" s="28" t="s">
        <v>59</v>
      </c>
      <c r="M1" s="94" t="s">
        <v>102</v>
      </c>
      <c r="N1" s="95" t="s">
        <v>103</v>
      </c>
      <c r="O1" s="96" t="s">
        <v>104</v>
      </c>
      <c r="P1" s="49" t="s">
        <v>105</v>
      </c>
      <c r="Q1" s="95" t="s">
        <v>106</v>
      </c>
      <c r="R1" s="51" t="s">
        <v>107</v>
      </c>
      <c r="S1" s="49" t="s">
        <v>72</v>
      </c>
      <c r="T1" s="50" t="s">
        <v>73</v>
      </c>
      <c r="U1" s="51" t="s">
        <v>74</v>
      </c>
      <c r="V1" s="49" t="s">
        <v>77</v>
      </c>
      <c r="W1" s="50" t="s">
        <v>75</v>
      </c>
      <c r="X1" s="51" t="s">
        <v>76</v>
      </c>
    </row>
    <row r="2" spans="1:24" x14ac:dyDescent="0.3">
      <c r="A2" s="93">
        <v>2000</v>
      </c>
      <c r="B2" s="61">
        <v>0.01</v>
      </c>
      <c r="C2" s="58"/>
      <c r="D2" s="42">
        <v>0.33333333333333331</v>
      </c>
      <c r="E2" s="52">
        <v>0.33333333333333331</v>
      </c>
      <c r="F2" s="53">
        <v>0.33333333333333331</v>
      </c>
      <c r="G2" s="36">
        <f>pars!$C$14</f>
        <v>0.42</v>
      </c>
      <c r="H2" s="64">
        <f>0.3*G2</f>
        <v>0.126</v>
      </c>
      <c r="I2" s="67">
        <f>G2</f>
        <v>0.42</v>
      </c>
      <c r="J2" s="43">
        <v>0.69</v>
      </c>
      <c r="K2" s="40">
        <v>0.69</v>
      </c>
      <c r="L2" s="40">
        <v>0.9</v>
      </c>
      <c r="M2" s="79">
        <v>100</v>
      </c>
      <c r="N2" s="79">
        <v>45</v>
      </c>
      <c r="O2" s="79">
        <v>75</v>
      </c>
      <c r="P2" s="81">
        <v>100</v>
      </c>
      <c r="Q2" s="80">
        <v>45</v>
      </c>
      <c r="R2" s="82">
        <v>75</v>
      </c>
      <c r="S2" s="42">
        <v>0</v>
      </c>
      <c r="T2" s="52">
        <v>0</v>
      </c>
      <c r="U2" s="53">
        <v>0</v>
      </c>
      <c r="V2" s="42">
        <v>0</v>
      </c>
      <c r="W2" s="52">
        <v>0</v>
      </c>
      <c r="X2" s="53">
        <v>0</v>
      </c>
    </row>
    <row r="3" spans="1:24" x14ac:dyDescent="0.3">
      <c r="A3" s="93">
        <v>2010</v>
      </c>
      <c r="B3" s="62">
        <v>0.03</v>
      </c>
      <c r="C3" s="58">
        <v>1</v>
      </c>
      <c r="D3" s="42"/>
      <c r="E3" s="52"/>
      <c r="F3" s="53"/>
      <c r="G3" s="97"/>
      <c r="H3" s="99"/>
      <c r="I3" s="100"/>
      <c r="J3" s="43"/>
      <c r="K3" s="40"/>
      <c r="L3" s="40"/>
      <c r="M3" s="83"/>
      <c r="N3" s="84"/>
      <c r="O3" s="85"/>
      <c r="P3" s="81"/>
      <c r="Q3" s="84"/>
      <c r="R3" s="82"/>
      <c r="S3" s="41"/>
      <c r="T3" s="70"/>
      <c r="U3" s="69"/>
      <c r="V3" s="41"/>
      <c r="W3" s="70"/>
      <c r="X3" s="69"/>
    </row>
    <row r="4" spans="1:24" x14ac:dyDescent="0.3">
      <c r="A4" s="93">
        <v>2016</v>
      </c>
      <c r="B4" s="62">
        <v>0.06</v>
      </c>
      <c r="C4" s="58"/>
      <c r="D4" s="42"/>
      <c r="E4" s="52"/>
      <c r="F4" s="53"/>
      <c r="G4" s="97"/>
      <c r="H4" s="99"/>
      <c r="I4" s="100"/>
      <c r="J4" s="43"/>
      <c r="K4" s="40"/>
      <c r="L4" s="40"/>
      <c r="M4" s="83"/>
      <c r="N4" s="84"/>
      <c r="O4" s="85"/>
      <c r="P4" s="81"/>
      <c r="Q4" s="84"/>
      <c r="R4" s="82"/>
      <c r="S4" s="41"/>
      <c r="T4" s="70"/>
      <c r="U4" s="69"/>
      <c r="V4" s="41"/>
      <c r="W4" s="70"/>
      <c r="X4" s="69"/>
    </row>
    <row r="5" spans="1:24" x14ac:dyDescent="0.3">
      <c r="A5" s="93">
        <v>2018</v>
      </c>
      <c r="B5" s="78">
        <v>0.18</v>
      </c>
      <c r="C5" s="58">
        <v>1</v>
      </c>
      <c r="D5" s="42"/>
      <c r="E5" s="52"/>
      <c r="F5" s="53"/>
      <c r="G5" s="97"/>
      <c r="H5" s="99"/>
      <c r="I5" s="100"/>
      <c r="J5" s="43"/>
      <c r="K5" s="40"/>
      <c r="L5" s="40"/>
      <c r="M5" s="83"/>
      <c r="N5" s="84"/>
      <c r="O5" s="85"/>
      <c r="P5" s="81"/>
      <c r="Q5" s="84"/>
      <c r="R5" s="82"/>
      <c r="S5" s="41"/>
      <c r="T5" s="70"/>
      <c r="U5" s="69"/>
      <c r="V5" s="41"/>
      <c r="W5" s="70"/>
      <c r="X5" s="69"/>
    </row>
    <row r="6" spans="1:24" x14ac:dyDescent="0.3">
      <c r="A6" s="93">
        <v>2023</v>
      </c>
      <c r="B6" s="61"/>
      <c r="C6" s="58"/>
      <c r="D6" s="42"/>
      <c r="E6" s="52"/>
      <c r="F6" s="53"/>
      <c r="G6" s="97"/>
      <c r="H6" s="99"/>
      <c r="I6" s="100"/>
      <c r="J6" s="43"/>
      <c r="K6" s="40"/>
      <c r="L6" s="40"/>
      <c r="M6" s="83"/>
      <c r="N6" s="84"/>
      <c r="O6" s="85"/>
      <c r="P6" s="81"/>
      <c r="Q6" s="84"/>
      <c r="R6" s="82"/>
      <c r="S6" s="41"/>
      <c r="T6" s="70"/>
      <c r="U6" s="69"/>
      <c r="V6" s="41"/>
      <c r="W6" s="70"/>
      <c r="X6" s="69"/>
    </row>
    <row r="7" spans="1:24" x14ac:dyDescent="0.3">
      <c r="A7" s="93">
        <v>2030</v>
      </c>
      <c r="B7" s="61"/>
      <c r="C7" s="58">
        <v>1</v>
      </c>
      <c r="D7" s="42"/>
      <c r="E7" s="52"/>
      <c r="F7" s="53"/>
      <c r="G7" s="97"/>
      <c r="H7" s="99"/>
      <c r="I7" s="100"/>
      <c r="J7" s="43"/>
      <c r="K7" s="40"/>
      <c r="L7" s="40"/>
      <c r="M7" s="83"/>
      <c r="N7" s="84"/>
      <c r="O7" s="85"/>
      <c r="P7" s="81"/>
      <c r="Q7" s="84"/>
      <c r="R7" s="82"/>
      <c r="S7" s="41"/>
      <c r="T7" s="70"/>
      <c r="U7" s="69"/>
      <c r="V7" s="41"/>
      <c r="W7" s="70"/>
      <c r="X7" s="69"/>
    </row>
    <row r="8" spans="1:24" x14ac:dyDescent="0.3">
      <c r="A8" s="93">
        <v>2040</v>
      </c>
      <c r="B8" s="63"/>
      <c r="C8" s="59">
        <v>1</v>
      </c>
      <c r="D8" s="54">
        <v>0.33333333333333331</v>
      </c>
      <c r="E8" s="55">
        <v>0.33333333333333331</v>
      </c>
      <c r="F8" s="56">
        <v>0.33333333333333331</v>
      </c>
      <c r="G8" s="66">
        <f>$G$2</f>
        <v>0.42</v>
      </c>
      <c r="H8" s="65">
        <f>0.3*G8</f>
        <v>0.126</v>
      </c>
      <c r="I8" s="68">
        <f t="shared" ref="I8" si="0">G8</f>
        <v>0.42</v>
      </c>
      <c r="J8" s="43">
        <v>0.69</v>
      </c>
      <c r="K8" s="40">
        <v>0.69</v>
      </c>
      <c r="L8" s="40">
        <v>0.9</v>
      </c>
      <c r="M8" s="79">
        <v>100</v>
      </c>
      <c r="N8" s="79">
        <v>45</v>
      </c>
      <c r="O8" s="79">
        <v>75</v>
      </c>
      <c r="P8" s="81">
        <v>100</v>
      </c>
      <c r="Q8" s="80">
        <v>45</v>
      </c>
      <c r="R8" s="82">
        <v>75</v>
      </c>
      <c r="S8" s="54">
        <v>0</v>
      </c>
      <c r="T8" s="55">
        <v>0</v>
      </c>
      <c r="U8" s="56">
        <v>0</v>
      </c>
      <c r="V8" s="54">
        <v>0</v>
      </c>
      <c r="W8" s="55">
        <v>0</v>
      </c>
      <c r="X8" s="5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E29" sqref="E29"/>
    </sheetView>
  </sheetViews>
  <sheetFormatPr defaultColWidth="8.85546875" defaultRowHeight="15" x14ac:dyDescent="0.25"/>
  <cols>
    <col min="1" max="1" width="5" style="20" bestFit="1" customWidth="1"/>
    <col min="2" max="2" width="14.5703125" style="93" bestFit="1" customWidth="1"/>
    <col min="3" max="3" width="11" style="93" bestFit="1" customWidth="1"/>
    <col min="4" max="4" width="14.85546875" style="93" bestFit="1" customWidth="1"/>
    <col min="5" max="5" width="17.5703125" style="93" bestFit="1" customWidth="1"/>
    <col min="6" max="6" width="22" style="93" bestFit="1" customWidth="1"/>
    <col min="7" max="7" width="10.28515625" style="93" bestFit="1" customWidth="1"/>
    <col min="8" max="8" width="50.85546875" style="93" bestFit="1" customWidth="1"/>
    <col min="9" max="9" width="51" style="93" bestFit="1" customWidth="1"/>
    <col min="10" max="10" width="32.5703125" style="93" bestFit="1" customWidth="1"/>
    <col min="11" max="11" width="33.85546875" style="93" bestFit="1" customWidth="1"/>
    <col min="12" max="12" width="34.42578125" style="93" bestFit="1" customWidth="1"/>
    <col min="13" max="13" width="34.7109375" style="93" bestFit="1" customWidth="1"/>
    <col min="14" max="14" width="35" style="93" bestFit="1" customWidth="1"/>
    <col min="15" max="15" width="7" style="93" bestFit="1" customWidth="1"/>
    <col min="16" max="16" width="14.28515625" style="93" bestFit="1" customWidth="1"/>
    <col min="17" max="17" width="30.42578125" style="93" bestFit="1" customWidth="1"/>
    <col min="18" max="18" width="36.85546875" style="93" bestFit="1" customWidth="1"/>
    <col min="19" max="19" width="19.5703125" style="93" customWidth="1"/>
    <col min="20" max="20" width="20.85546875" style="93" customWidth="1"/>
    <col min="21" max="21" width="17.5703125" style="93" bestFit="1" customWidth="1"/>
    <col min="22" max="22" width="17.42578125" style="93" bestFit="1" customWidth="1"/>
    <col min="23" max="16384" width="8.85546875" style="93"/>
  </cols>
  <sheetData>
    <row r="1" spans="1:22" x14ac:dyDescent="0.3">
      <c r="A1" s="19" t="s">
        <v>31</v>
      </c>
      <c r="B1" s="11" t="s">
        <v>33</v>
      </c>
      <c r="C1" s="11" t="s">
        <v>32</v>
      </c>
      <c r="D1" s="11" t="s">
        <v>47</v>
      </c>
      <c r="E1" s="11" t="s">
        <v>48</v>
      </c>
      <c r="F1" s="11" t="s">
        <v>49</v>
      </c>
      <c r="G1" s="11" t="s">
        <v>40</v>
      </c>
      <c r="H1" s="11" t="s">
        <v>95</v>
      </c>
      <c r="I1" s="11" t="s">
        <v>96</v>
      </c>
      <c r="J1" s="11" t="s">
        <v>46</v>
      </c>
      <c r="K1" s="11" t="s">
        <v>69</v>
      </c>
      <c r="L1" s="11" t="s">
        <v>97</v>
      </c>
      <c r="M1" s="11" t="s">
        <v>98</v>
      </c>
      <c r="N1" s="11" t="s">
        <v>101</v>
      </c>
      <c r="O1" s="11" t="s">
        <v>70</v>
      </c>
      <c r="P1" s="11" t="s">
        <v>71</v>
      </c>
      <c r="Q1" s="11" t="s">
        <v>100</v>
      </c>
      <c r="R1" s="11" t="s">
        <v>99</v>
      </c>
      <c r="S1" s="11" t="s">
        <v>92</v>
      </c>
      <c r="T1" s="11" t="s">
        <v>93</v>
      </c>
      <c r="U1" s="90" t="s">
        <v>108</v>
      </c>
      <c r="V1" s="16"/>
    </row>
    <row r="2" spans="1:22" x14ac:dyDescent="0.3">
      <c r="A2" s="12">
        <v>2007</v>
      </c>
      <c r="B2" s="12"/>
      <c r="C2" s="39">
        <f>G2*7.2/100</f>
        <v>3075.4079999999999</v>
      </c>
      <c r="D2" s="13">
        <v>0.7</v>
      </c>
      <c r="E2" s="13">
        <v>0.75</v>
      </c>
      <c r="F2" s="13">
        <v>0.8</v>
      </c>
      <c r="G2" s="37">
        <v>42714</v>
      </c>
      <c r="H2" s="88">
        <v>2.3287671232876714E-2</v>
      </c>
      <c r="I2" s="88">
        <v>3.4931506849315071E-2</v>
      </c>
      <c r="J2" s="39">
        <f>G2-K2</f>
        <v>39638.591999999997</v>
      </c>
      <c r="K2" s="39">
        <f>C2</f>
        <v>3075.4079999999999</v>
      </c>
      <c r="L2" s="72">
        <f t="shared" ref="L2:M2" si="0">ROUND(H2*J2,0)</f>
        <v>923</v>
      </c>
      <c r="M2" s="72">
        <f t="shared" si="0"/>
        <v>107</v>
      </c>
      <c r="N2" s="13">
        <v>1007</v>
      </c>
      <c r="O2" s="76">
        <v>0.81</v>
      </c>
      <c r="P2" s="76">
        <v>0.82</v>
      </c>
      <c r="Q2" s="77">
        <f>N2*O2*P2</f>
        <v>668.84940000000006</v>
      </c>
      <c r="R2" s="73">
        <v>0.17</v>
      </c>
      <c r="S2" s="75">
        <f>Q2-T2</f>
        <v>555.14500200000009</v>
      </c>
      <c r="T2" s="75">
        <f>Q2*R2</f>
        <v>113.70439800000001</v>
      </c>
      <c r="U2" s="17"/>
      <c r="V2" s="17"/>
    </row>
    <row r="3" spans="1:22" x14ac:dyDescent="0.3">
      <c r="A3" s="12">
        <v>2008</v>
      </c>
      <c r="B3" s="14"/>
      <c r="C3" s="39">
        <f t="shared" ref="C3:C12" si="1">G3*7.2/100</f>
        <v>3229.1784000000002</v>
      </c>
      <c r="D3" s="12"/>
      <c r="E3" s="12"/>
      <c r="F3" s="12"/>
      <c r="G3" s="39">
        <f>1.05*G2</f>
        <v>44849.700000000004</v>
      </c>
      <c r="H3" s="88"/>
      <c r="I3" s="88"/>
      <c r="J3" s="39">
        <f t="shared" ref="J3:J12" si="2">G3-K3</f>
        <v>41620.521600000007</v>
      </c>
      <c r="K3" s="39">
        <f t="shared" ref="K3:K12" si="3">C3</f>
        <v>3229.1784000000002</v>
      </c>
      <c r="L3" s="15"/>
      <c r="M3" s="15"/>
      <c r="N3" s="13">
        <v>922</v>
      </c>
      <c r="O3" s="76">
        <v>0.81</v>
      </c>
      <c r="P3" s="76">
        <v>0.82</v>
      </c>
      <c r="Q3" s="77">
        <f t="shared" ref="Q3:Q11" si="4">N3*O3*P3</f>
        <v>612.39239999999995</v>
      </c>
      <c r="R3" s="73">
        <v>0.17</v>
      </c>
      <c r="S3" s="75">
        <f t="shared" ref="S3:S11" si="5">Q3-T3</f>
        <v>508.28569199999993</v>
      </c>
      <c r="T3" s="75">
        <f t="shared" ref="T3:T11" si="6">Q3*R3</f>
        <v>104.106708</v>
      </c>
      <c r="U3" s="17"/>
      <c r="V3" s="17"/>
    </row>
    <row r="4" spans="1:22" x14ac:dyDescent="0.3">
      <c r="A4" s="12">
        <v>2009</v>
      </c>
      <c r="B4" s="14"/>
      <c r="C4" s="39">
        <f t="shared" si="1"/>
        <v>3390.6373200000003</v>
      </c>
      <c r="D4" s="12"/>
      <c r="E4" s="12"/>
      <c r="F4" s="12"/>
      <c r="G4" s="39">
        <f t="shared" ref="G4:G11" si="7">1.05*G3</f>
        <v>47092.185000000005</v>
      </c>
      <c r="H4" s="88"/>
      <c r="I4" s="88"/>
      <c r="J4" s="39">
        <f t="shared" si="2"/>
        <v>43701.547680000003</v>
      </c>
      <c r="K4" s="39">
        <f t="shared" si="3"/>
        <v>3390.6373200000003</v>
      </c>
      <c r="L4" s="15"/>
      <c r="M4" s="15"/>
      <c r="N4" s="13">
        <v>1480</v>
      </c>
      <c r="O4" s="76">
        <v>0.81</v>
      </c>
      <c r="P4" s="76">
        <v>0.82</v>
      </c>
      <c r="Q4" s="77">
        <f t="shared" si="4"/>
        <v>983.01600000000008</v>
      </c>
      <c r="R4" s="73">
        <v>0.17</v>
      </c>
      <c r="S4" s="75">
        <f t="shared" si="5"/>
        <v>815.90328</v>
      </c>
      <c r="T4" s="75">
        <f t="shared" si="6"/>
        <v>167.11272000000002</v>
      </c>
      <c r="U4" s="18"/>
      <c r="V4" s="18"/>
    </row>
    <row r="5" spans="1:22" x14ac:dyDescent="0.3">
      <c r="A5" s="12">
        <v>2010</v>
      </c>
      <c r="B5" s="13">
        <v>178</v>
      </c>
      <c r="C5" s="39">
        <f t="shared" si="1"/>
        <v>3560.1691860000005</v>
      </c>
      <c r="D5" s="13">
        <v>0.7</v>
      </c>
      <c r="E5" s="13">
        <v>0.75</v>
      </c>
      <c r="F5" s="13">
        <v>0.8</v>
      </c>
      <c r="G5" s="39">
        <f t="shared" si="7"/>
        <v>49446.794250000006</v>
      </c>
      <c r="H5" s="88">
        <v>4.0273972602739724E-2</v>
      </c>
      <c r="I5" s="88">
        <v>4.3150684931506846E-2</v>
      </c>
      <c r="J5" s="39">
        <f t="shared" si="2"/>
        <v>45886.625064000007</v>
      </c>
      <c r="K5" s="39">
        <f t="shared" si="3"/>
        <v>3560.1691860000005</v>
      </c>
      <c r="L5" s="71">
        <f t="shared" ref="L5:M11" si="8">ROUND(H5*J5,0)</f>
        <v>1848</v>
      </c>
      <c r="M5" s="71">
        <f t="shared" si="8"/>
        <v>154</v>
      </c>
      <c r="N5" s="13">
        <v>1758</v>
      </c>
      <c r="O5" s="76">
        <v>0.81</v>
      </c>
      <c r="P5" s="76">
        <v>0.82</v>
      </c>
      <c r="Q5" s="77">
        <f t="shared" si="4"/>
        <v>1167.6635999999999</v>
      </c>
      <c r="R5" s="73">
        <v>0.17</v>
      </c>
      <c r="S5" s="75">
        <f t="shared" si="5"/>
        <v>969.16078799999991</v>
      </c>
      <c r="T5" s="75">
        <f t="shared" si="6"/>
        <v>198.50281199999998</v>
      </c>
      <c r="U5" s="18"/>
      <c r="V5" s="18"/>
    </row>
    <row r="6" spans="1:22" x14ac:dyDescent="0.3">
      <c r="A6" s="12">
        <v>2011</v>
      </c>
      <c r="B6" s="13">
        <v>218</v>
      </c>
      <c r="C6" s="39">
        <f t="shared" si="1"/>
        <v>3738.1776453000011</v>
      </c>
      <c r="D6" s="12"/>
      <c r="E6" s="12"/>
      <c r="F6" s="12"/>
      <c r="G6" s="39">
        <f t="shared" si="7"/>
        <v>51919.133962500011</v>
      </c>
      <c r="H6" s="88">
        <v>3.7534246575342468E-2</v>
      </c>
      <c r="I6" s="88">
        <v>4.726027397260274E-2</v>
      </c>
      <c r="J6" s="39">
        <f t="shared" si="2"/>
        <v>48180.956317200013</v>
      </c>
      <c r="K6" s="39">
        <f t="shared" si="3"/>
        <v>3738.1776453000011</v>
      </c>
      <c r="L6" s="71">
        <f t="shared" si="8"/>
        <v>1808</v>
      </c>
      <c r="M6" s="71">
        <f t="shared" si="8"/>
        <v>177</v>
      </c>
      <c r="N6" s="13">
        <v>1863</v>
      </c>
      <c r="O6" s="76">
        <v>0.81</v>
      </c>
      <c r="P6" s="76">
        <v>0.82</v>
      </c>
      <c r="Q6" s="77">
        <f t="shared" si="4"/>
        <v>1237.4046000000001</v>
      </c>
      <c r="R6" s="73">
        <v>0.17</v>
      </c>
      <c r="S6" s="75">
        <f t="shared" si="5"/>
        <v>1027.0458180000001</v>
      </c>
      <c r="T6" s="75">
        <f t="shared" si="6"/>
        <v>210.35878200000002</v>
      </c>
      <c r="U6" s="18"/>
      <c r="V6" s="18"/>
    </row>
    <row r="7" spans="1:22" x14ac:dyDescent="0.3">
      <c r="A7" s="12">
        <v>2012</v>
      </c>
      <c r="B7" s="13">
        <v>200</v>
      </c>
      <c r="C7" s="39">
        <f t="shared" si="1"/>
        <v>3925.0865275650012</v>
      </c>
      <c r="D7" s="13">
        <v>0.91200000000000003</v>
      </c>
      <c r="E7" s="13">
        <v>0.82</v>
      </c>
      <c r="F7" s="13">
        <v>0.88</v>
      </c>
      <c r="G7" s="39">
        <f t="shared" si="7"/>
        <v>54515.090660625014</v>
      </c>
      <c r="H7" s="88">
        <v>4.876712328767123E-2</v>
      </c>
      <c r="I7" s="88">
        <v>5.3835616438356167E-2</v>
      </c>
      <c r="J7" s="39">
        <f t="shared" si="2"/>
        <v>50590.004133060014</v>
      </c>
      <c r="K7" s="39">
        <f t="shared" si="3"/>
        <v>3925.0865275650012</v>
      </c>
      <c r="L7" s="71">
        <f t="shared" si="8"/>
        <v>2467</v>
      </c>
      <c r="M7" s="71">
        <f t="shared" si="8"/>
        <v>211</v>
      </c>
      <c r="N7" s="13">
        <v>2436</v>
      </c>
      <c r="O7" s="76">
        <v>0.81</v>
      </c>
      <c r="P7" s="76">
        <v>0.82</v>
      </c>
      <c r="Q7" s="77">
        <f t="shared" si="4"/>
        <v>1617.9911999999999</v>
      </c>
      <c r="R7" s="73">
        <v>0.17</v>
      </c>
      <c r="S7" s="75">
        <f t="shared" si="5"/>
        <v>1342.9326959999999</v>
      </c>
      <c r="T7" s="75">
        <f t="shared" si="6"/>
        <v>275.05850400000003</v>
      </c>
      <c r="U7" s="18"/>
      <c r="V7" s="18"/>
    </row>
    <row r="8" spans="1:22" x14ac:dyDescent="0.3">
      <c r="A8" s="12">
        <v>2013</v>
      </c>
      <c r="B8" s="13">
        <v>218</v>
      </c>
      <c r="C8" s="39">
        <f t="shared" si="1"/>
        <v>4121.3408539432512</v>
      </c>
      <c r="D8" s="13">
        <v>0.91200000000000003</v>
      </c>
      <c r="E8" s="38">
        <v>0.86</v>
      </c>
      <c r="F8" s="13">
        <v>0.9</v>
      </c>
      <c r="G8" s="39">
        <f t="shared" si="7"/>
        <v>57240.845193656263</v>
      </c>
      <c r="H8" s="88">
        <v>5.2876712328767124E-2</v>
      </c>
      <c r="I8" s="88">
        <v>6.2671232876712321E-2</v>
      </c>
      <c r="J8" s="39">
        <f t="shared" si="2"/>
        <v>53119.504339713014</v>
      </c>
      <c r="K8" s="39">
        <f t="shared" si="3"/>
        <v>4121.3408539432512</v>
      </c>
      <c r="L8" s="71">
        <f t="shared" si="8"/>
        <v>2809</v>
      </c>
      <c r="M8" s="71">
        <f t="shared" si="8"/>
        <v>258</v>
      </c>
      <c r="N8" s="13">
        <v>2981</v>
      </c>
      <c r="O8" s="76">
        <v>0.81</v>
      </c>
      <c r="P8" s="76">
        <v>0.82</v>
      </c>
      <c r="Q8" s="77">
        <f t="shared" si="4"/>
        <v>1979.9802</v>
      </c>
      <c r="R8" s="73">
        <v>0.17</v>
      </c>
      <c r="S8" s="75">
        <f t="shared" si="5"/>
        <v>1643.383566</v>
      </c>
      <c r="T8" s="75">
        <f t="shared" si="6"/>
        <v>336.59663399999999</v>
      </c>
      <c r="U8" s="18"/>
      <c r="V8" s="18"/>
    </row>
    <row r="9" spans="1:22" x14ac:dyDescent="0.3">
      <c r="A9" s="12">
        <v>2014</v>
      </c>
      <c r="B9" s="13">
        <v>219</v>
      </c>
      <c r="C9" s="39">
        <f t="shared" si="1"/>
        <v>4327.407896640414</v>
      </c>
      <c r="D9" s="13">
        <v>0.91200000000000003</v>
      </c>
      <c r="E9" s="38">
        <v>0.89</v>
      </c>
      <c r="F9" s="38">
        <v>0.9</v>
      </c>
      <c r="G9" s="39">
        <f t="shared" si="7"/>
        <v>60102.887453339077</v>
      </c>
      <c r="H9" s="88">
        <v>5.1506849315068493E-2</v>
      </c>
      <c r="I9" s="88">
        <v>5.321917808219178E-2</v>
      </c>
      <c r="J9" s="39">
        <f t="shared" si="2"/>
        <v>55775.479556698665</v>
      </c>
      <c r="K9" s="39">
        <f t="shared" si="3"/>
        <v>4327.407896640414</v>
      </c>
      <c r="L9" s="71">
        <f t="shared" si="8"/>
        <v>2873</v>
      </c>
      <c r="M9" s="71">
        <f t="shared" si="8"/>
        <v>230</v>
      </c>
      <c r="N9" s="13">
        <v>3273</v>
      </c>
      <c r="O9" s="76">
        <v>0.81</v>
      </c>
      <c r="P9" s="76">
        <v>0.82</v>
      </c>
      <c r="Q9" s="77">
        <f t="shared" si="4"/>
        <v>2173.9265999999998</v>
      </c>
      <c r="R9" s="73">
        <v>0.17</v>
      </c>
      <c r="S9" s="75">
        <f t="shared" si="5"/>
        <v>1804.3590779999997</v>
      </c>
      <c r="T9" s="75">
        <f t="shared" si="6"/>
        <v>369.567522</v>
      </c>
      <c r="U9" s="18"/>
      <c r="V9" s="18"/>
    </row>
    <row r="10" spans="1:22" x14ac:dyDescent="0.3">
      <c r="A10" s="12">
        <v>2015</v>
      </c>
      <c r="B10" s="13">
        <v>206</v>
      </c>
      <c r="C10" s="39">
        <f t="shared" si="1"/>
        <v>4543.7782914724339</v>
      </c>
      <c r="D10" s="13">
        <v>0.91200000000000003</v>
      </c>
      <c r="E10" s="13">
        <v>0.92</v>
      </c>
      <c r="F10" s="13">
        <v>0.92</v>
      </c>
      <c r="G10" s="39">
        <f t="shared" si="7"/>
        <v>63108.03182600603</v>
      </c>
      <c r="H10" s="88">
        <v>6.6575342465753418E-2</v>
      </c>
      <c r="I10" s="88">
        <v>6.7191780821917804E-2</v>
      </c>
      <c r="J10" s="39">
        <f t="shared" si="2"/>
        <v>58564.253534533593</v>
      </c>
      <c r="K10" s="39">
        <f t="shared" si="3"/>
        <v>4543.7782914724339</v>
      </c>
      <c r="L10" s="71">
        <f t="shared" si="8"/>
        <v>3899</v>
      </c>
      <c r="M10" s="71">
        <f t="shared" si="8"/>
        <v>305</v>
      </c>
      <c r="N10" s="13">
        <v>4864</v>
      </c>
      <c r="O10" s="76">
        <v>0.81</v>
      </c>
      <c r="P10" s="76">
        <v>0.82</v>
      </c>
      <c r="Q10" s="77">
        <f t="shared" si="4"/>
        <v>3230.6687999999999</v>
      </c>
      <c r="R10" s="74">
        <v>0.17</v>
      </c>
      <c r="S10" s="75">
        <f t="shared" si="5"/>
        <v>2681.4551039999997</v>
      </c>
      <c r="T10" s="75">
        <f t="shared" si="6"/>
        <v>549.21369600000003</v>
      </c>
      <c r="U10" s="18"/>
      <c r="V10" s="18"/>
    </row>
    <row r="11" spans="1:22" x14ac:dyDescent="0.3">
      <c r="A11" s="12">
        <v>2016</v>
      </c>
      <c r="B11" s="13">
        <v>233</v>
      </c>
      <c r="C11" s="39">
        <f t="shared" si="1"/>
        <v>4770.9672060460571</v>
      </c>
      <c r="D11" s="13">
        <v>0.91200000000000003</v>
      </c>
      <c r="E11" s="13">
        <v>0.95</v>
      </c>
      <c r="F11" s="13">
        <v>0.94</v>
      </c>
      <c r="G11" s="39">
        <f t="shared" si="7"/>
        <v>66263.43341730634</v>
      </c>
      <c r="H11" s="88">
        <v>6.3287671232876708E-2</v>
      </c>
      <c r="I11" s="88">
        <v>6.9246575342465755E-2</v>
      </c>
      <c r="J11" s="39">
        <f>G11-K11</f>
        <v>61492.466211260282</v>
      </c>
      <c r="K11" s="39">
        <f t="shared" si="3"/>
        <v>4770.9672060460571</v>
      </c>
      <c r="L11" s="71">
        <f t="shared" si="8"/>
        <v>3892</v>
      </c>
      <c r="M11" s="71">
        <f t="shared" si="8"/>
        <v>330</v>
      </c>
      <c r="N11" s="13">
        <v>6263</v>
      </c>
      <c r="O11" s="76">
        <v>0.81</v>
      </c>
      <c r="P11" s="76">
        <v>0.82</v>
      </c>
      <c r="Q11" s="77">
        <f t="shared" si="4"/>
        <v>4159.8846000000003</v>
      </c>
      <c r="R11" s="74">
        <v>0.13</v>
      </c>
      <c r="S11" s="75">
        <f t="shared" si="5"/>
        <v>3619.0996020000002</v>
      </c>
      <c r="T11" s="75">
        <f t="shared" si="6"/>
        <v>540.78499800000009</v>
      </c>
      <c r="U11" s="91">
        <v>0.18</v>
      </c>
    </row>
    <row r="12" spans="1:22" x14ac:dyDescent="0.3">
      <c r="A12" s="12">
        <v>2017</v>
      </c>
      <c r="B12" s="13">
        <v>194</v>
      </c>
      <c r="C12" s="39">
        <f t="shared" si="1"/>
        <v>5009.5155663483602</v>
      </c>
      <c r="D12" s="12"/>
      <c r="E12" s="12"/>
      <c r="F12" s="12"/>
      <c r="G12" s="39">
        <f>1.05*G11</f>
        <v>69576.605088171666</v>
      </c>
      <c r="J12" s="39">
        <f t="shared" si="2"/>
        <v>64567.089521823305</v>
      </c>
      <c r="K12" s="39">
        <f t="shared" si="3"/>
        <v>5009.5155663483602</v>
      </c>
      <c r="L12" s="15"/>
    </row>
    <row r="13" spans="1:22" x14ac:dyDescent="0.3">
      <c r="A13" s="12"/>
      <c r="B13" s="12"/>
      <c r="C13" s="21"/>
      <c r="G13" s="15"/>
    </row>
    <row r="14" spans="1:22" x14ac:dyDescent="0.3">
      <c r="B14" s="12"/>
      <c r="J14" s="87"/>
    </row>
    <row r="15" spans="1:22" x14ac:dyDescent="0.3">
      <c r="B15" s="12"/>
      <c r="J15" s="87"/>
    </row>
    <row r="16" spans="1:22" x14ac:dyDescent="0.3">
      <c r="B16" s="12"/>
      <c r="G16" s="12"/>
    </row>
    <row r="17" spans="2:7" x14ac:dyDescent="0.3">
      <c r="B17" s="12"/>
      <c r="G17" s="12"/>
    </row>
    <row r="18" spans="2:7" x14ac:dyDescent="0.3">
      <c r="B18" s="12"/>
      <c r="G18" s="12"/>
    </row>
    <row r="19" spans="2:7" x14ac:dyDescent="0.3">
      <c r="B19" s="12"/>
      <c r="G19" s="12"/>
    </row>
    <row r="20" spans="2:7" x14ac:dyDescent="0.3">
      <c r="B20" s="12"/>
      <c r="G20" s="12"/>
    </row>
    <row r="21" spans="2:7" x14ac:dyDescent="0.3">
      <c r="B21" s="12"/>
      <c r="G21" s="12"/>
    </row>
    <row r="22" spans="2:7" x14ac:dyDescent="0.3">
      <c r="G22" s="12"/>
    </row>
    <row r="23" spans="2:7" x14ac:dyDescent="0.3">
      <c r="G23" s="12"/>
    </row>
    <row r="24" spans="2:7" x14ac:dyDescent="0.3">
      <c r="G24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0" sqref="A10:A16"/>
    </sheetView>
  </sheetViews>
  <sheetFormatPr defaultRowHeight="15" x14ac:dyDescent="0.25"/>
  <cols>
    <col min="1" max="1" width="38.5703125" customWidth="1"/>
    <col min="2" max="2" width="14.42578125" bestFit="1" customWidth="1"/>
    <col min="3" max="3" width="40.42578125" bestFit="1" customWidth="1"/>
    <col min="4" max="4" width="53.85546875" bestFit="1" customWidth="1"/>
    <col min="5" max="5" width="54.140625" bestFit="1" customWidth="1"/>
  </cols>
  <sheetData>
    <row r="1" spans="1:5" x14ac:dyDescent="0.3">
      <c r="A1" s="93" t="s">
        <v>119</v>
      </c>
      <c r="B1" s="93"/>
      <c r="C1" s="93"/>
      <c r="D1" s="93"/>
      <c r="E1" s="93"/>
    </row>
    <row r="2" spans="1:5" x14ac:dyDescent="0.3">
      <c r="A2" s="93"/>
      <c r="B2" s="93" t="s">
        <v>110</v>
      </c>
      <c r="C2" s="93" t="s">
        <v>111</v>
      </c>
      <c r="D2" s="93" t="s">
        <v>112</v>
      </c>
      <c r="E2" s="93" t="s">
        <v>113</v>
      </c>
    </row>
    <row r="3" spans="1:5" x14ac:dyDescent="0.3">
      <c r="A3" s="93" t="s">
        <v>114</v>
      </c>
      <c r="B3" s="93">
        <v>6925</v>
      </c>
      <c r="C3" s="93">
        <v>5115</v>
      </c>
      <c r="D3" s="93">
        <v>431</v>
      </c>
      <c r="E3" s="93">
        <v>1379</v>
      </c>
    </row>
    <row r="4" spans="1:5" x14ac:dyDescent="0.3">
      <c r="A4" s="93" t="s">
        <v>115</v>
      </c>
      <c r="B4" s="93">
        <v>100</v>
      </c>
      <c r="C4" s="93">
        <v>91.21</v>
      </c>
      <c r="D4" s="93">
        <v>7.69</v>
      </c>
      <c r="E4" s="93">
        <v>1.1000000000000001</v>
      </c>
    </row>
    <row r="5" spans="1:5" x14ac:dyDescent="0.3">
      <c r="A5" s="93" t="s">
        <v>116</v>
      </c>
      <c r="B5" s="93">
        <v>1.59</v>
      </c>
      <c r="C5" s="93">
        <v>1.48</v>
      </c>
      <c r="D5" s="93">
        <v>2.42</v>
      </c>
      <c r="E5" s="93">
        <v>4</v>
      </c>
    </row>
    <row r="6" spans="1:5" x14ac:dyDescent="0.3">
      <c r="A6" s="93" t="s">
        <v>117</v>
      </c>
      <c r="B6" s="93">
        <v>3.21</v>
      </c>
      <c r="C6" s="93">
        <v>0</v>
      </c>
      <c r="D6" s="93">
        <v>19.559999999999999</v>
      </c>
      <c r="E6" s="93">
        <v>25.18</v>
      </c>
    </row>
    <row r="7" spans="1:5" x14ac:dyDescent="0.3">
      <c r="A7" s="93" t="s">
        <v>118</v>
      </c>
      <c r="B7" s="93">
        <v>5.0999999999999996</v>
      </c>
      <c r="C7" s="93">
        <v>0</v>
      </c>
      <c r="D7" s="93">
        <v>47.38</v>
      </c>
      <c r="E7" s="93">
        <v>100.82</v>
      </c>
    </row>
    <row r="8" spans="1:5" x14ac:dyDescent="0.3">
      <c r="A8" s="93"/>
      <c r="B8" s="93"/>
      <c r="C8" s="93"/>
      <c r="D8" s="93"/>
      <c r="E8" s="93"/>
    </row>
    <row r="9" spans="1:5" s="98" customFormat="1" x14ac:dyDescent="0.3"/>
    <row r="10" spans="1:5" x14ac:dyDescent="0.3">
      <c r="A10" t="s">
        <v>109</v>
      </c>
    </row>
    <row r="11" spans="1:5" x14ac:dyDescent="0.3">
      <c r="B11" t="s">
        <v>110</v>
      </c>
      <c r="C11" t="s">
        <v>111</v>
      </c>
      <c r="D11" t="s">
        <v>112</v>
      </c>
      <c r="E11" t="s">
        <v>113</v>
      </c>
    </row>
    <row r="12" spans="1:5" x14ac:dyDescent="0.3">
      <c r="A12" t="s">
        <v>114</v>
      </c>
      <c r="B12">
        <v>2074</v>
      </c>
      <c r="C12">
        <v>1330</v>
      </c>
      <c r="D12">
        <v>476</v>
      </c>
      <c r="E12">
        <v>268</v>
      </c>
    </row>
    <row r="13" spans="1:5" x14ac:dyDescent="0.3">
      <c r="A13" t="s">
        <v>115</v>
      </c>
      <c r="B13">
        <v>100</v>
      </c>
      <c r="C13">
        <v>64.13</v>
      </c>
      <c r="D13">
        <v>22.95</v>
      </c>
      <c r="E13">
        <v>12.92</v>
      </c>
    </row>
    <row r="14" spans="1:5" x14ac:dyDescent="0.3">
      <c r="A14" t="s">
        <v>116</v>
      </c>
      <c r="B14">
        <v>4.55</v>
      </c>
      <c r="C14">
        <v>4.1900000000000004</v>
      </c>
      <c r="D14">
        <v>4.71</v>
      </c>
      <c r="E14">
        <v>5.53</v>
      </c>
    </row>
    <row r="15" spans="1:5" x14ac:dyDescent="0.3">
      <c r="A15" t="s">
        <v>117</v>
      </c>
      <c r="B15">
        <v>8.61</v>
      </c>
      <c r="C15">
        <v>0</v>
      </c>
      <c r="D15">
        <v>13.18</v>
      </c>
      <c r="E15">
        <v>27.21</v>
      </c>
    </row>
    <row r="16" spans="1:5" x14ac:dyDescent="0.3">
      <c r="A16" t="s">
        <v>118</v>
      </c>
      <c r="B16">
        <v>41.3</v>
      </c>
      <c r="C16">
        <v>0</v>
      </c>
      <c r="D16">
        <v>61.17</v>
      </c>
      <c r="E16">
        <v>154.75</v>
      </c>
    </row>
    <row r="18" spans="1:5" s="98" customFormat="1" x14ac:dyDescent="0.3"/>
    <row r="19" spans="1:5" x14ac:dyDescent="0.3">
      <c r="A19" t="s">
        <v>120</v>
      </c>
    </row>
    <row r="20" spans="1:5" x14ac:dyDescent="0.3">
      <c r="B20" t="s">
        <v>110</v>
      </c>
      <c r="C20" t="s">
        <v>111</v>
      </c>
      <c r="D20" t="s">
        <v>112</v>
      </c>
      <c r="E20" t="s">
        <v>113</v>
      </c>
    </row>
    <row r="21" spans="1:5" x14ac:dyDescent="0.3">
      <c r="A21" t="s">
        <v>114</v>
      </c>
      <c r="B21">
        <v>1356</v>
      </c>
      <c r="C21">
        <v>1154</v>
      </c>
      <c r="D21">
        <v>156</v>
      </c>
      <c r="E21">
        <v>46</v>
      </c>
    </row>
    <row r="22" spans="1:5" x14ac:dyDescent="0.3">
      <c r="A22" t="s">
        <v>115</v>
      </c>
      <c r="B22">
        <v>100</v>
      </c>
      <c r="C22">
        <v>85.1</v>
      </c>
      <c r="D22">
        <v>11.5</v>
      </c>
      <c r="E22">
        <v>3.4</v>
      </c>
    </row>
    <row r="23" spans="1:5" x14ac:dyDescent="0.3">
      <c r="A23" t="s">
        <v>116</v>
      </c>
      <c r="B23">
        <v>2</v>
      </c>
      <c r="C23">
        <v>1.83</v>
      </c>
      <c r="D23">
        <v>2.68</v>
      </c>
      <c r="E23">
        <v>3.6</v>
      </c>
    </row>
    <row r="24" spans="1:5" x14ac:dyDescent="0.3">
      <c r="A24" t="s">
        <v>117</v>
      </c>
      <c r="B24">
        <v>4.67</v>
      </c>
      <c r="C24">
        <v>0</v>
      </c>
      <c r="D24">
        <v>15.68</v>
      </c>
      <c r="E24">
        <v>27.21</v>
      </c>
    </row>
    <row r="25" spans="1:5" x14ac:dyDescent="0.3">
      <c r="A25" t="s">
        <v>118</v>
      </c>
      <c r="B25">
        <v>9.33</v>
      </c>
      <c r="C25">
        <v>0</v>
      </c>
      <c r="D25">
        <v>43.56</v>
      </c>
      <c r="E25">
        <v>98.07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pars</vt:lpstr>
      <vt:lpstr>data</vt:lpstr>
      <vt:lpstr>base</vt:lpstr>
      <vt:lpstr>base (old)</vt:lpstr>
      <vt:lpstr>data (old)</vt:lpstr>
      <vt:lpstr>PrEPX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Michael Traeger</cp:lastModifiedBy>
  <dcterms:created xsi:type="dcterms:W3CDTF">2017-03-22T09:22:15Z</dcterms:created>
  <dcterms:modified xsi:type="dcterms:W3CDTF">2019-07-12T02:51:15Z</dcterms:modified>
</cp:coreProperties>
</file>