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esktop\HIV_Model_R_syphilis_gel\"/>
    </mc:Choice>
  </mc:AlternateContent>
  <bookViews>
    <workbookView xWindow="0" yWindow="0" windowWidth="22290" windowHeight="8745" activeTab="2"/>
  </bookViews>
  <sheets>
    <sheet name="pars" sheetId="1" r:id="rId1"/>
    <sheet name="data" sheetId="5" r:id="rId2"/>
    <sheet name="base" sheetId="14" r:id="rId3"/>
    <sheet name="intervention" sheetId="15" r:id="rId4"/>
    <sheet name="data old" sheetId="16" r:id="rId5"/>
    <sheet name="data all" sheetId="17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3" i="5"/>
  <c r="C8" i="1"/>
  <c r="C2" i="5"/>
  <c r="C7" i="1" l="1"/>
  <c r="F7" i="1"/>
  <c r="C3" i="5"/>
  <c r="K3" i="5" s="1"/>
  <c r="J3" i="5" s="1"/>
  <c r="L3" i="5" s="1"/>
  <c r="C5" i="5"/>
  <c r="C4" i="5"/>
  <c r="K4" i="5" s="1"/>
  <c r="J4" i="5" s="1"/>
  <c r="L4" i="5" s="1"/>
  <c r="K5" i="17"/>
  <c r="K4" i="17"/>
  <c r="M4" i="17" s="1"/>
  <c r="H7" i="14"/>
  <c r="H2" i="14"/>
  <c r="Q11" i="17"/>
  <c r="R11" i="17"/>
  <c r="T11" i="17"/>
  <c r="S11" i="17"/>
  <c r="Q10" i="17"/>
  <c r="R10" i="17"/>
  <c r="T10" i="17"/>
  <c r="S10" i="17"/>
  <c r="Q9" i="17"/>
  <c r="R9" i="17"/>
  <c r="T9" i="17"/>
  <c r="S9" i="17"/>
  <c r="Q8" i="17"/>
  <c r="T8" i="17"/>
  <c r="S8" i="17"/>
  <c r="Q7" i="17"/>
  <c r="R7" i="17"/>
  <c r="T7" i="17"/>
  <c r="S7" i="17"/>
  <c r="Q6" i="17"/>
  <c r="R6" i="17"/>
  <c r="T6" i="17"/>
  <c r="S6" i="17"/>
  <c r="Q5" i="17"/>
  <c r="R5" i="17"/>
  <c r="T5" i="17"/>
  <c r="S5" i="17"/>
  <c r="Q4" i="17"/>
  <c r="R4" i="17"/>
  <c r="T4" i="17"/>
  <c r="S4" i="17"/>
  <c r="Q3" i="17"/>
  <c r="R3" i="17"/>
  <c r="T3" i="17"/>
  <c r="S3" i="17"/>
  <c r="K3" i="17"/>
  <c r="J3" i="17" s="1"/>
  <c r="L3" i="17" s="1"/>
  <c r="Q2" i="17"/>
  <c r="R2" i="17"/>
  <c r="T2" i="17"/>
  <c r="S2" i="17"/>
  <c r="K2" i="17"/>
  <c r="J2" i="17" s="1"/>
  <c r="L2" i="17" s="1"/>
  <c r="J2" i="5"/>
  <c r="L2" i="5" s="1"/>
  <c r="K5" i="5"/>
  <c r="J5" i="5" s="1"/>
  <c r="L5" i="5" s="1"/>
  <c r="K2" i="5"/>
  <c r="M2" i="5" s="1"/>
  <c r="R9" i="5"/>
  <c r="R10" i="5"/>
  <c r="Q3" i="5"/>
  <c r="T3" i="5"/>
  <c r="T4" i="5"/>
  <c r="T5" i="5"/>
  <c r="T6" i="5"/>
  <c r="T7" i="5"/>
  <c r="T8" i="5"/>
  <c r="Q9" i="5"/>
  <c r="T9" i="5"/>
  <c r="Q10" i="5"/>
  <c r="T10" i="5"/>
  <c r="Q2" i="5"/>
  <c r="T2" i="5"/>
  <c r="R3" i="5"/>
  <c r="R4" i="5"/>
  <c r="R5" i="5"/>
  <c r="R6" i="5"/>
  <c r="R7" i="5"/>
  <c r="R2" i="5"/>
  <c r="Q8" i="5"/>
  <c r="Q7" i="5"/>
  <c r="Q6" i="5"/>
  <c r="Q5" i="5"/>
  <c r="Q4" i="5"/>
  <c r="S3" i="5"/>
  <c r="S4" i="5"/>
  <c r="S5" i="5"/>
  <c r="S6" i="5"/>
  <c r="S7" i="5"/>
  <c r="S8" i="5"/>
  <c r="S9" i="5"/>
  <c r="S10" i="5"/>
  <c r="S2" i="5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C2" i="1"/>
  <c r="C22" i="1"/>
  <c r="C21" i="1"/>
  <c r="C20" i="1"/>
  <c r="C11" i="1"/>
  <c r="C10" i="1"/>
  <c r="C16" i="1"/>
  <c r="D12" i="1"/>
  <c r="E12" i="1"/>
  <c r="D11" i="1"/>
  <c r="E11" i="1"/>
  <c r="E5" i="1"/>
  <c r="D5" i="1"/>
  <c r="C14" i="1"/>
  <c r="E14" i="1"/>
  <c r="E16" i="1"/>
  <c r="E17" i="1"/>
  <c r="E18" i="1"/>
  <c r="E19" i="1"/>
  <c r="D14" i="1"/>
  <c r="C15" i="1"/>
  <c r="D15" i="1"/>
  <c r="D16" i="1"/>
  <c r="D17" i="1"/>
  <c r="D18" i="1"/>
  <c r="D19" i="1"/>
  <c r="C9" i="1"/>
  <c r="E6" i="1"/>
  <c r="D6" i="1"/>
  <c r="E4" i="1"/>
  <c r="D4" i="1"/>
  <c r="C13" i="1"/>
  <c r="E13" i="1"/>
  <c r="C12" i="1"/>
  <c r="D13" i="1"/>
  <c r="E10" i="1"/>
  <c r="D10" i="1"/>
  <c r="D8" i="1"/>
  <c r="M3" i="5" l="1"/>
  <c r="C6" i="5"/>
  <c r="K6" i="5" s="1"/>
  <c r="M5" i="5"/>
  <c r="M4" i="5"/>
  <c r="M2" i="17"/>
  <c r="M3" i="17"/>
  <c r="M5" i="17"/>
  <c r="J5" i="17"/>
  <c r="L5" i="17" s="1"/>
  <c r="J4" i="17"/>
  <c r="L4" i="17" s="1"/>
  <c r="K6" i="17"/>
  <c r="J6" i="5" l="1"/>
  <c r="L6" i="5" s="1"/>
  <c r="M6" i="5"/>
  <c r="C7" i="5"/>
  <c r="K7" i="5" s="1"/>
  <c r="K7" i="17"/>
  <c r="M7" i="17" s="1"/>
  <c r="J6" i="17"/>
  <c r="L6" i="17" s="1"/>
  <c r="M6" i="17"/>
  <c r="C8" i="5" l="1"/>
  <c r="K8" i="5" s="1"/>
  <c r="M8" i="5" s="1"/>
  <c r="D7" i="1"/>
  <c r="J6" i="1"/>
  <c r="E7" i="1"/>
  <c r="J7" i="5"/>
  <c r="L7" i="5" s="1"/>
  <c r="M7" i="5"/>
  <c r="J7" i="17"/>
  <c r="L7" i="17" s="1"/>
  <c r="K8" i="17"/>
  <c r="M8" i="17" s="1"/>
  <c r="J8" i="17"/>
  <c r="L8" i="17" s="1"/>
  <c r="J8" i="5" l="1"/>
  <c r="L8" i="5" s="1"/>
  <c r="C9" i="5"/>
  <c r="K9" i="5" s="1"/>
  <c r="K9" i="17"/>
  <c r="C10" i="5" l="1"/>
  <c r="K10" i="5" s="1"/>
  <c r="J9" i="5"/>
  <c r="L9" i="5" s="1"/>
  <c r="M9" i="5"/>
  <c r="J9" i="17"/>
  <c r="L9" i="17" s="1"/>
  <c r="M9" i="17"/>
  <c r="K10" i="17"/>
  <c r="C11" i="5" l="1"/>
  <c r="K11" i="5" s="1"/>
  <c r="J11" i="5" s="1"/>
  <c r="C12" i="5"/>
  <c r="K12" i="5" s="1"/>
  <c r="J12" i="5" s="1"/>
  <c r="J10" i="5"/>
  <c r="L10" i="5" s="1"/>
  <c r="M10" i="5"/>
  <c r="K11" i="17"/>
  <c r="J10" i="17"/>
  <c r="L10" i="17" s="1"/>
  <c r="M10" i="17"/>
  <c r="J11" i="17" l="1"/>
  <c r="L11" i="17" s="1"/>
  <c r="M11" i="17"/>
  <c r="K12" i="17"/>
  <c r="J12" i="17" s="1"/>
</calcChain>
</file>

<file path=xl/comments1.xml><?xml version="1.0" encoding="utf-8"?>
<comments xmlns="http://schemas.openxmlformats.org/spreadsheetml/2006/main">
  <authors>
    <author>Tom Tidhar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https://www2.health.vic.gov.au/~/media/Health/Files/Collections/Factsheets/D/dhhs-epi-fact-sheet-sti-june-2017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https://www2.health.vic.gov.au/Api/downloadmedia/%7B27A4188D-7167-49F4-9F08-63165A44D80F%7D
88% of notifications are male.
74% of male are MSM.
This was used to find number of MSM notifications.
Compare with june 2017 fact sheet, which says that 78% of notifications reported as MSM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https://kirby.unsw.edu.au/sites/default/files/kirby/report/SERP_National-BBV%26STI-Surveillance%26Monitoring-Report-2016_UPD170627.pdf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comments2.xml><?xml version="1.0" encoding="utf-8"?>
<comments xmlns="http://schemas.openxmlformats.org/spreadsheetml/2006/main">
  <authors>
    <author>Tom Tidhar</author>
  </authors>
  <commentList>
    <comment ref="H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https://kirby.unsw.edu.au/sites/default/files/kirby/report/SERP_2010-Annual-Surveillance-Report.pdf
page 118
and
https://kirby.unsw.edu.au/sites/default/files/kirby/report/SERP_Annual-Surveillance-Report-2017_compressed.pdf
page 163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https://www2.health.vic.gov.au/~/media/Health/Files/Collections/Factsheets/D/dhhs-epi-fact-sheet-sti-june-2017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https://www2.health.vic.gov.au/Api/downloadmedia/%7B27A4188D-7167-49F4-9F08-63165A44D80F%7D
88% of notifications are male.
74% of male are MSM.
This was used to find number of MSM notifications.
Compare with june 2017 fact sheet, which says that 78% of notifications reported as MSM</t>
        </r>
      </text>
    </comment>
    <comment ref="B5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</commentList>
</comments>
</file>

<file path=xl/sharedStrings.xml><?xml version="1.0" encoding="utf-8"?>
<sst xmlns="http://schemas.openxmlformats.org/spreadsheetml/2006/main" count="153" uniqueCount="111">
  <si>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</si>
  <si>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</si>
  <si>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</si>
  <si>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</si>
  <si>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</si>
  <si>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</si>
  <si>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</si>
  <si>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</si>
  <si>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</si>
  <si>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</si>
  <si>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</si>
  <si>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</si>
  <si>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alpha1</t>
  </si>
  <si>
    <t>alpha2</t>
  </si>
  <si>
    <t>alpha3</t>
  </si>
  <si>
    <t>mu</t>
  </si>
  <si>
    <t>extra_death_I</t>
  </si>
  <si>
    <t>extra_death_D</t>
  </si>
  <si>
    <t>Time step size</t>
  </si>
  <si>
    <t>Force of infection constant</t>
  </si>
  <si>
    <t>Relative infectivity following diagnosis</t>
  </si>
  <si>
    <t>Relative infectivity when on treatment</t>
  </si>
  <si>
    <t>MSM population growth rate</t>
  </si>
  <si>
    <t>growth</t>
  </si>
  <si>
    <t>All-cause mortality rate</t>
  </si>
  <si>
    <t>Rate of diagnosis (1/time from infection to diagnosis)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</si>
  <si>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</si>
  <si>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</si>
  <si>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</si>
  <si>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</si>
  <si>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</si>
  <si>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</si>
  <si>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</si>
  <si>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</si>
  <si>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</si>
  <si>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Condom use with casual partners</t>
  </si>
  <si>
    <t>c0</t>
  </si>
  <si>
    <t>Effectiveness of PrEP</t>
  </si>
  <si>
    <t>eff_prep</t>
  </si>
  <si>
    <t>Effectiveness of condoms</t>
  </si>
  <si>
    <t>eff_condom</t>
  </si>
  <si>
    <t>Total MSM</t>
  </si>
  <si>
    <t>prop_condom_prep</t>
  </si>
  <si>
    <t>Relative condom use by PrEP population</t>
  </si>
  <si>
    <t>Relative infectivity when virally suppressed</t>
  </si>
  <si>
    <t>Effectiveness of gel condoms</t>
  </si>
  <si>
    <t>eff_gel</t>
  </si>
  <si>
    <t>Current proportion of high risk population on PrEP</t>
  </si>
  <si>
    <t>prop_prep_base</t>
  </si>
  <si>
    <t>Uncertainty</t>
  </si>
  <si>
    <t>Victorian HIV- GBM population size</t>
  </si>
  <si>
    <t>Prop diagnosed</t>
  </si>
  <si>
    <t>Prop on treatment</t>
  </si>
  <si>
    <t>Prop virally suppressed</t>
  </si>
  <si>
    <t>Syphilis prevalence estimate among HIV-negative GBM</t>
  </si>
  <si>
    <t>PLsyph amongst HIV-</t>
  </si>
  <si>
    <t>PLsyph amongst HIV+</t>
  </si>
  <si>
    <t>Relative rate of diagnosis of HIV</t>
  </si>
  <si>
    <t>rate of diagnosis of syph, for HIV- no prep</t>
  </si>
  <si>
    <t>rate of diagnosis of syph, for HIV+</t>
  </si>
  <si>
    <t>rate of diagnosis of syph, for HIV- prep</t>
  </si>
  <si>
    <t>Condom usage, HIV- no prep</t>
  </si>
  <si>
    <t>Condom usage, HIV- prep</t>
  </si>
  <si>
    <t>Condom usage, HIV+</t>
  </si>
  <si>
    <t>Proportion of HIV- on prep</t>
  </si>
  <si>
    <t>Prop testing, HIV- no prep</t>
  </si>
  <si>
    <t>Prop testing, HIV+</t>
  </si>
  <si>
    <t>Prop testing, HIV- prep</t>
  </si>
  <si>
    <t>t_exp_syph</t>
  </si>
  <si>
    <t>t_treatment_syph</t>
  </si>
  <si>
    <t>t_infect_syph</t>
  </si>
  <si>
    <t>Time between syph testing, HIV- no prep</t>
  </si>
  <si>
    <t>Time between syph testing, HIV- prep</t>
  </si>
  <si>
    <t>Time between syph testing, HIV+</t>
  </si>
  <si>
    <t>mix1</t>
  </si>
  <si>
    <t>mix2</t>
  </si>
  <si>
    <t>mix3</t>
  </si>
  <si>
    <t>Mixing in HIV-, no prep</t>
  </si>
  <si>
    <t>Mixing in HIV-, prep</t>
  </si>
  <si>
    <t>Mixing in HIV+</t>
  </si>
  <si>
    <t>Median time from exposure to infection</t>
  </si>
  <si>
    <t>Median time from infection to late latency</t>
  </si>
  <si>
    <t>Median time for treatment</t>
  </si>
  <si>
    <t>r_diag_HIV</t>
  </si>
  <si>
    <t>f_infect_HIV</t>
  </si>
  <si>
    <t>INTERVENTIONS</t>
  </si>
  <si>
    <t>a</t>
  </si>
  <si>
    <t>Proportion of HIV-negative GBM testing</t>
  </si>
  <si>
    <t>b</t>
  </si>
  <si>
    <t>Median time between syphilis tests</t>
  </si>
  <si>
    <t>c</t>
  </si>
  <si>
    <t>(combine a and b)</t>
  </si>
  <si>
    <t>d</t>
  </si>
  <si>
    <t>e</t>
  </si>
  <si>
    <t>f</t>
  </si>
  <si>
    <t>Fractional decrease in condom usage by HIV- prep</t>
  </si>
  <si>
    <t>Victorian notified infectious syphilis</t>
  </si>
  <si>
    <t>Among HIV- GBM</t>
  </si>
  <si>
    <t>Among HIV+ GBM</t>
  </si>
  <si>
    <t>Victorian HIV+ GBM population size</t>
  </si>
  <si>
    <t>Syphilis prevalence estimate among HIV-positive GBM</t>
  </si>
  <si>
    <t>Victorian MSM notified infectious syphilis</t>
  </si>
  <si>
    <t>%male</t>
  </si>
  <si>
    <t>%of male MSM</t>
  </si>
  <si>
    <t>%HIV+</t>
  </si>
  <si>
    <t>Nil to gel, HIV- no prep</t>
  </si>
  <si>
    <t>Nil to gel, HIV- prep</t>
  </si>
  <si>
    <t>Nil to gel, HIV+</t>
  </si>
  <si>
    <t>Condom to gel, HIV- prep</t>
  </si>
  <si>
    <t>Condom to gel, HIV+</t>
  </si>
  <si>
    <t>Condom to gel, HIV- no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</si>
</sst>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3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2" borderId="4" xfId="0" applyFill="1" applyBorder="1"/>
    <xf numFmtId="0" fontId="2" fillId="2" borderId="1" xfId="0" applyFont="1" applyFill="1" applyBorder="1"/>
    <xf numFmtId="0" fontId="0" fillId="2" borderId="1" xfId="0" applyNumberFormat="1" applyFill="1" applyBorder="1"/>
    <xf numFmtId="2" fontId="0" fillId="2" borderId="1" xfId="0" applyNumberFormat="1" applyFill="1" applyBorder="1"/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164" fontId="0" fillId="2" borderId="1" xfId="0" applyNumberFormat="1" applyFill="1" applyBorder="1"/>
    <xf numFmtId="2" fontId="0" fillId="0" borderId="0" xfId="0" applyNumberFormat="1"/>
    <xf numFmtId="0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9" fontId="0" fillId="0" borderId="0" xfId="13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0" fontId="9" fillId="0" borderId="0" xfId="0" applyNumberFormat="1" applyFont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vertical="center"/>
    </xf>
    <xf numFmtId="1" fontId="9" fillId="0" borderId="0" xfId="0" applyNumberFormat="1" applyFont="1" applyAlignment="1">
      <alignment horizontal="right" vertical="center"/>
    </xf>
    <xf numFmtId="1" fontId="0" fillId="0" borderId="0" xfId="0" applyNumberFormat="1"/>
    <xf numFmtId="9" fontId="9" fillId="0" borderId="0" xfId="13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2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9" fillId="0" borderId="0" xfId="0" applyNumberFormat="1" applyFont="1" applyFill="1" applyAlignment="1">
      <alignment horizontal="right" vertical="center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selection activeCell="E9" sqref="E9"/>
    </sheetView>
  </sheetViews>
  <sheetFormatPr defaultColWidth="8.85546875" defaultRowHeight="15" x14ac:dyDescent="0.25"/>
  <cols>
    <col min="1" max="1" width="69.42578125" style="15" customWidth="1"/>
    <col min="2" max="2" width="16.140625" style="7" bestFit="1" customWidth="1"/>
    <col min="3" max="3" width="12" style="1" bestFit="1" customWidth="1"/>
    <col min="4" max="4" width="11.42578125" customWidth="1"/>
    <col min="5" max="5" width="11.42578125" style="5" customWidth="1"/>
    <col min="6" max="6" width="11.42578125" customWidth="1"/>
    <col min="7" max="7" width="28.7109375" customWidth="1"/>
    <col min="9" max="9" width="11.5703125" bestFit="1" customWidth="1"/>
  </cols>
  <sheetData>
    <row r="1" spans="1:10" s="2" customFormat="1" ht="30" x14ac:dyDescent="0.25">
      <c r="A1" s="14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49</v>
      </c>
    </row>
    <row r="2" spans="1:10" x14ac:dyDescent="0.25">
      <c r="A2" s="15" t="s">
        <v>18</v>
      </c>
      <c r="B2" s="7" t="s">
        <v>11</v>
      </c>
      <c r="C2" s="8">
        <f>1/12</f>
        <v>8.3333333333333329E-2</v>
      </c>
      <c r="D2" s="9"/>
      <c r="E2" s="10"/>
      <c r="I2" s="21">
        <v>0.05</v>
      </c>
    </row>
    <row r="3" spans="1:10" x14ac:dyDescent="0.25">
      <c r="A3" s="15" t="s">
        <v>19</v>
      </c>
      <c r="B3" s="7" t="s">
        <v>84</v>
      </c>
      <c r="C3" s="11">
        <v>0.06</v>
      </c>
      <c r="D3" s="9"/>
      <c r="E3" s="10"/>
      <c r="G3" t="s">
        <v>8</v>
      </c>
    </row>
    <row r="4" spans="1:10" x14ac:dyDescent="0.25">
      <c r="A4" s="15" t="s">
        <v>20</v>
      </c>
      <c r="B4" s="7" t="s">
        <v>12</v>
      </c>
      <c r="C4" s="11">
        <v>1</v>
      </c>
      <c r="D4">
        <f>C4-$I$2*C4</f>
        <v>0.95</v>
      </c>
      <c r="E4">
        <f>C4+$I$2*C4</f>
        <v>1.05</v>
      </c>
    </row>
    <row r="5" spans="1:10" x14ac:dyDescent="0.25">
      <c r="A5" s="15" t="s">
        <v>21</v>
      </c>
      <c r="B5" s="7" t="s">
        <v>13</v>
      </c>
      <c r="C5" s="11">
        <v>1</v>
      </c>
      <c r="D5">
        <f>C5-$I$2*C5</f>
        <v>0.95</v>
      </c>
      <c r="E5">
        <f>C5+$I$2*C5</f>
        <v>1.05</v>
      </c>
    </row>
    <row r="6" spans="1:10" x14ac:dyDescent="0.25">
      <c r="A6" s="15" t="s">
        <v>44</v>
      </c>
      <c r="B6" s="7" t="s">
        <v>14</v>
      </c>
      <c r="C6" s="16">
        <v>0.04</v>
      </c>
      <c r="D6">
        <f>C6-$I$2*C6</f>
        <v>3.7999999999999999E-2</v>
      </c>
      <c r="E6">
        <f>C6+$I$2*C6</f>
        <v>4.2000000000000003E-2</v>
      </c>
      <c r="G6" t="s">
        <v>9</v>
      </c>
      <c r="J6">
        <f>(1+C7)^(12*(2040-2007))</f>
        <v>5.0031885420339695</v>
      </c>
    </row>
    <row r="7" spans="1:10" ht="18.75" customHeight="1" x14ac:dyDescent="0.25">
      <c r="A7" s="15" t="s">
        <v>22</v>
      </c>
      <c r="B7" s="7" t="s">
        <v>23</v>
      </c>
      <c r="C7" s="8">
        <f>(data!G12/data!G2) ^ (C2/((data!A12-data!A2))) - 1</f>
        <v>4.0741237836483535E-3</v>
      </c>
      <c r="D7">
        <f>C7-$I$2*C7</f>
        <v>3.8704175944659358E-3</v>
      </c>
      <c r="E7">
        <f>C7+$I$2*C7</f>
        <v>4.2778299728307712E-3</v>
      </c>
      <c r="F7">
        <f>(data!G7-data!G2)/(data!A7-data!A2)/data!G2*C2</f>
        <v>4.6046927083333387E-3</v>
      </c>
      <c r="G7" t="s">
        <v>6</v>
      </c>
    </row>
    <row r="8" spans="1:10" ht="18.75" customHeight="1" x14ac:dyDescent="0.25">
      <c r="A8" s="15" t="s">
        <v>24</v>
      </c>
      <c r="B8" s="7" t="s">
        <v>15</v>
      </c>
      <c r="C8" s="16">
        <f>0.001*12*C2</f>
        <v>1E-3</v>
      </c>
      <c r="D8">
        <f>C8-$I$2*C8</f>
        <v>9.5E-4</v>
      </c>
      <c r="E8">
        <v>1.1000000000000001E-3</v>
      </c>
    </row>
    <row r="9" spans="1:10" ht="17.25" customHeight="1" x14ac:dyDescent="0.25">
      <c r="A9" s="15" t="s">
        <v>25</v>
      </c>
      <c r="B9" s="7" t="s">
        <v>83</v>
      </c>
      <c r="C9" s="18">
        <f>0.5</f>
        <v>0.5</v>
      </c>
      <c r="E9"/>
    </row>
    <row r="10" spans="1:10" ht="17.25" customHeight="1" x14ac:dyDescent="0.25">
      <c r="A10" s="15" t="s">
        <v>26</v>
      </c>
      <c r="B10" s="7" t="s">
        <v>16</v>
      </c>
      <c r="C10" s="1">
        <f>0.001*12*C2</f>
        <v>1E-3</v>
      </c>
      <c r="D10">
        <f>C10-$I$2*C10</f>
        <v>9.5E-4</v>
      </c>
      <c r="E10">
        <f>C10+$I$2*C10</f>
        <v>1.0499999999999999E-3</v>
      </c>
    </row>
    <row r="11" spans="1:10" x14ac:dyDescent="0.25">
      <c r="A11" s="15" t="s">
        <v>27</v>
      </c>
      <c r="B11" s="7" t="s">
        <v>17</v>
      </c>
      <c r="C11" s="12">
        <f>0.001*12*C2</f>
        <v>1E-3</v>
      </c>
      <c r="D11">
        <f>C11-$I$2*C11</f>
        <v>9.5E-4</v>
      </c>
      <c r="E11">
        <f>C11+$I$2*C11</f>
        <v>1.0499999999999999E-3</v>
      </c>
      <c r="G11" t="s">
        <v>7</v>
      </c>
    </row>
    <row r="12" spans="1:10" x14ac:dyDescent="0.25">
      <c r="A12" s="15" t="s">
        <v>29</v>
      </c>
      <c r="B12" s="7" t="s">
        <v>28</v>
      </c>
      <c r="C12" s="13">
        <f>2</f>
        <v>2</v>
      </c>
      <c r="D12" s="17">
        <f>C12-$I$2*C12</f>
        <v>1.9</v>
      </c>
      <c r="E12" s="17">
        <f>C12+$I$2*C12</f>
        <v>2.1</v>
      </c>
      <c r="G12" t="s">
        <v>10</v>
      </c>
    </row>
    <row r="13" spans="1:10" x14ac:dyDescent="0.25">
      <c r="A13" s="15" t="s">
        <v>31</v>
      </c>
      <c r="B13" s="7" t="s">
        <v>30</v>
      </c>
      <c r="C13" s="13">
        <f>116/365.25</f>
        <v>0.31759069130732376</v>
      </c>
      <c r="D13" s="17">
        <f>C13-$I$2*C13</f>
        <v>0.30171115674195759</v>
      </c>
      <c r="E13" s="17">
        <f>C13+$I$2*C13</f>
        <v>0.33347022587268993</v>
      </c>
    </row>
    <row r="14" spans="1:10" x14ac:dyDescent="0.25">
      <c r="A14" s="15" t="s">
        <v>35</v>
      </c>
      <c r="B14" s="7" t="s">
        <v>36</v>
      </c>
      <c r="C14" s="19">
        <f>0.42</f>
        <v>0.42</v>
      </c>
      <c r="D14" s="17">
        <f t="shared" ref="D14:D19" si="0">C14-$I$2*C14</f>
        <v>0.39899999999999997</v>
      </c>
      <c r="E14" s="17">
        <f t="shared" ref="E14:E19" si="1">C14+$I$2*C14</f>
        <v>0.441</v>
      </c>
    </row>
    <row r="15" spans="1:10" x14ac:dyDescent="0.25">
      <c r="A15" s="15" t="s">
        <v>37</v>
      </c>
      <c r="B15" s="7" t="s">
        <v>38</v>
      </c>
      <c r="C15" s="19">
        <f>0.86</f>
        <v>0.86</v>
      </c>
      <c r="D15" s="17">
        <f t="shared" si="0"/>
        <v>0.81699999999999995</v>
      </c>
      <c r="E15" s="17">
        <v>1</v>
      </c>
    </row>
    <row r="16" spans="1:10" x14ac:dyDescent="0.25">
      <c r="A16" s="15" t="s">
        <v>39</v>
      </c>
      <c r="B16" s="7" t="s">
        <v>40</v>
      </c>
      <c r="C16" s="20">
        <f>0.7</f>
        <v>0.7</v>
      </c>
      <c r="D16" s="17">
        <f t="shared" si="0"/>
        <v>0.66499999999999992</v>
      </c>
      <c r="E16" s="17">
        <f t="shared" si="1"/>
        <v>0.73499999999999999</v>
      </c>
    </row>
    <row r="17" spans="1:5" x14ac:dyDescent="0.25">
      <c r="A17" s="15" t="s">
        <v>43</v>
      </c>
      <c r="B17" s="7" t="s">
        <v>42</v>
      </c>
      <c r="C17" s="20">
        <v>0.5</v>
      </c>
      <c r="D17" s="17">
        <f t="shared" si="0"/>
        <v>0.47499999999999998</v>
      </c>
      <c r="E17" s="17">
        <f t="shared" si="1"/>
        <v>0.52500000000000002</v>
      </c>
    </row>
    <row r="18" spans="1:5" x14ac:dyDescent="0.25">
      <c r="A18" s="15" t="s">
        <v>45</v>
      </c>
      <c r="B18" s="7" t="s">
        <v>46</v>
      </c>
      <c r="C18" s="20">
        <v>0.3</v>
      </c>
      <c r="D18" s="17">
        <f t="shared" si="0"/>
        <v>0.28499999999999998</v>
      </c>
      <c r="E18" s="17">
        <f t="shared" si="1"/>
        <v>0.315</v>
      </c>
    </row>
    <row r="19" spans="1:5" x14ac:dyDescent="0.25">
      <c r="A19" s="15" t="s">
        <v>47</v>
      </c>
      <c r="B19" s="7" t="s">
        <v>48</v>
      </c>
      <c r="C19" s="1">
        <v>0.2</v>
      </c>
      <c r="D19" s="17">
        <f t="shared" si="0"/>
        <v>0.19</v>
      </c>
      <c r="E19" s="17">
        <f t="shared" si="1"/>
        <v>0.21000000000000002</v>
      </c>
    </row>
    <row r="20" spans="1:5" x14ac:dyDescent="0.25">
      <c r="A20" s="15" t="s">
        <v>80</v>
      </c>
      <c r="B20" s="7" t="s">
        <v>68</v>
      </c>
      <c r="C20" s="1">
        <f>21/(C2*365)</f>
        <v>0.69041095890410964</v>
      </c>
    </row>
    <row r="21" spans="1:5" x14ac:dyDescent="0.25">
      <c r="A21" s="15" t="s">
        <v>81</v>
      </c>
      <c r="B21" s="7" t="s">
        <v>70</v>
      </c>
      <c r="C21" s="1">
        <f>730.5/(365*C2)</f>
        <v>24.016438356164386</v>
      </c>
    </row>
    <row r="22" spans="1:5" x14ac:dyDescent="0.25">
      <c r="A22" s="15" t="s">
        <v>82</v>
      </c>
      <c r="B22" s="7" t="s">
        <v>69</v>
      </c>
      <c r="C22" s="1">
        <f>7/(365*C2)</f>
        <v>0.23013698630136989</v>
      </c>
    </row>
    <row r="23" spans="1:5" x14ac:dyDescent="0.25">
      <c r="A23" s="15" t="s">
        <v>77</v>
      </c>
      <c r="B23" s="7" t="s">
        <v>74</v>
      </c>
      <c r="C23" s="1">
        <v>0.05</v>
      </c>
    </row>
    <row r="24" spans="1:5" x14ac:dyDescent="0.25">
      <c r="A24" s="15" t="s">
        <v>78</v>
      </c>
      <c r="B24" s="7" t="s">
        <v>75</v>
      </c>
      <c r="C24" s="1">
        <v>0.1</v>
      </c>
    </row>
    <row r="25" spans="1:5" x14ac:dyDescent="0.25">
      <c r="A25" s="15" t="s">
        <v>79</v>
      </c>
      <c r="B25" s="7" t="s">
        <v>76</v>
      </c>
      <c r="C25" s="1">
        <v>0.05</v>
      </c>
    </row>
  </sheetData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I20" sqref="I20"/>
    </sheetView>
  </sheetViews>
  <sheetFormatPr defaultColWidth="8.85546875" defaultRowHeight="15" x14ac:dyDescent="0.25"/>
  <cols>
    <col min="1" max="1" width="5" style="37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50.85546875" bestFit="1" customWidth="1"/>
    <col min="9" max="9" width="51" bestFit="1" customWidth="1"/>
    <col min="10" max="10" width="32.5703125" bestFit="1" customWidth="1"/>
    <col min="11" max="11" width="33.85546875" bestFit="1" customWidth="1"/>
    <col min="12" max="13" width="32.5703125" customWidth="1"/>
    <col min="14" max="14" width="35" bestFit="1" customWidth="1"/>
    <col min="15" max="15" width="14.85546875" customWidth="1"/>
    <col min="16" max="16" width="14.42578125" customWidth="1"/>
    <col min="17" max="17" width="38.85546875" bestFit="1" customWidth="1"/>
    <col min="18" max="18" width="6.7109375" bestFit="1" customWidth="1"/>
    <col min="19" max="19" width="16.28515625" bestFit="1" customWidth="1"/>
    <col min="20" max="20" width="16.5703125" bestFit="1" customWidth="1"/>
    <col min="21" max="21" width="17.5703125" bestFit="1" customWidth="1"/>
    <col min="22" max="22" width="17.42578125" bestFit="1" customWidth="1"/>
  </cols>
  <sheetData>
    <row r="1" spans="1:22" x14ac:dyDescent="0.25">
      <c r="A1" s="36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100</v>
      </c>
      <c r="J1" s="22" t="s">
        <v>50</v>
      </c>
      <c r="K1" s="22" t="s">
        <v>99</v>
      </c>
      <c r="L1" s="22" t="s">
        <v>55</v>
      </c>
      <c r="M1" s="22" t="s">
        <v>56</v>
      </c>
      <c r="N1" s="22" t="s">
        <v>96</v>
      </c>
      <c r="O1" s="22" t="s">
        <v>102</v>
      </c>
      <c r="P1" s="22" t="s">
        <v>103</v>
      </c>
      <c r="Q1" s="22" t="s">
        <v>101</v>
      </c>
      <c r="R1" s="22" t="s">
        <v>104</v>
      </c>
      <c r="S1" s="22" t="s">
        <v>97</v>
      </c>
      <c r="T1" s="22" t="s">
        <v>98</v>
      </c>
      <c r="U1" s="31" t="s">
        <v>97</v>
      </c>
      <c r="V1" s="31" t="s">
        <v>98</v>
      </c>
    </row>
    <row r="2" spans="1:22" x14ac:dyDescent="0.25">
      <c r="A2" s="23">
        <v>2007</v>
      </c>
      <c r="B2" s="23"/>
      <c r="C2" s="38">
        <f>G2*7.2/100</f>
        <v>3075.4079999999999</v>
      </c>
      <c r="D2" s="23">
        <v>0.7</v>
      </c>
      <c r="E2" s="23">
        <v>0.75</v>
      </c>
      <c r="F2" s="23">
        <v>0.8</v>
      </c>
      <c r="G2" s="23">
        <v>42714</v>
      </c>
      <c r="H2" s="25">
        <v>2.1999999999999999E-2</v>
      </c>
      <c r="I2" s="25">
        <v>6.2E-2</v>
      </c>
      <c r="J2" s="23">
        <f>G2-K2</f>
        <v>39638.591999999997</v>
      </c>
      <c r="K2" s="23">
        <f>C2</f>
        <v>3075.4079999999999</v>
      </c>
      <c r="L2" s="28">
        <f>ROUND(H2*J2,0)</f>
        <v>872</v>
      </c>
      <c r="M2" s="28">
        <f>ROUND(I2*K2,0)</f>
        <v>191</v>
      </c>
      <c r="N2" s="23">
        <v>422</v>
      </c>
      <c r="O2" s="30">
        <v>0.88</v>
      </c>
      <c r="P2" s="30">
        <v>0.74</v>
      </c>
      <c r="Q2" s="29">
        <f>N2*O2*P2</f>
        <v>274.8064</v>
      </c>
      <c r="R2" s="21">
        <f>0.28</f>
        <v>0.28000000000000003</v>
      </c>
      <c r="S2" s="29">
        <f>Q2-T2</f>
        <v>197.86060799999998</v>
      </c>
      <c r="T2" s="29">
        <f>Q2*R2</f>
        <v>76.945792000000012</v>
      </c>
      <c r="U2" s="32"/>
      <c r="V2" s="32"/>
    </row>
    <row r="3" spans="1:22" x14ac:dyDescent="0.25">
      <c r="A3" s="23">
        <v>2008</v>
      </c>
      <c r="B3" s="26"/>
      <c r="C3" s="38">
        <f t="shared" ref="C3:C12" si="0">G3*7.2/100</f>
        <v>3229.1784000000002</v>
      </c>
      <c r="D3" s="23"/>
      <c r="E3" s="23"/>
      <c r="F3" s="23"/>
      <c r="G3" s="28">
        <f>1.05*G2</f>
        <v>44849.700000000004</v>
      </c>
      <c r="H3" s="25">
        <v>2.1000000000000001E-2</v>
      </c>
      <c r="I3" s="25">
        <v>4.2999999999999997E-2</v>
      </c>
      <c r="J3" s="23">
        <f t="shared" ref="J3:J12" si="1">G3-K3</f>
        <v>41620.521600000007</v>
      </c>
      <c r="K3" s="23">
        <f t="shared" ref="K3:K12" si="2">C3</f>
        <v>3229.1784000000002</v>
      </c>
      <c r="L3" s="28">
        <f t="shared" ref="L3:M10" si="3">ROUND(H3*J3,0)</f>
        <v>874</v>
      </c>
      <c r="M3" s="28">
        <f t="shared" si="3"/>
        <v>139</v>
      </c>
      <c r="N3" s="23">
        <v>381</v>
      </c>
      <c r="O3" s="30">
        <v>0.88</v>
      </c>
      <c r="P3" s="30">
        <v>0.74</v>
      </c>
      <c r="Q3" s="29">
        <f t="shared" ref="Q3:Q10" si="4">N3*O3*P3</f>
        <v>248.10720000000001</v>
      </c>
      <c r="R3" s="21">
        <f t="shared" ref="R3:R10" si="5">0.28</f>
        <v>0.28000000000000003</v>
      </c>
      <c r="S3" s="29">
        <f t="shared" ref="S3:S10" si="6">Q3-T3</f>
        <v>178.63718399999999</v>
      </c>
      <c r="T3" s="29">
        <f t="shared" ref="T3:T10" si="7">Q3*R3</f>
        <v>69.470016000000015</v>
      </c>
      <c r="U3" s="32"/>
      <c r="V3" s="32"/>
    </row>
    <row r="4" spans="1:22" x14ac:dyDescent="0.25">
      <c r="A4" s="23">
        <v>2009</v>
      </c>
      <c r="B4" s="26"/>
      <c r="C4" s="38">
        <f t="shared" si="0"/>
        <v>3390.6373200000003</v>
      </c>
      <c r="D4" s="23"/>
      <c r="E4" s="23"/>
      <c r="F4" s="23"/>
      <c r="G4" s="28">
        <f t="shared" ref="G4:G12" si="8">1.05*G3</f>
        <v>47092.185000000005</v>
      </c>
      <c r="H4" s="25">
        <v>0.02</v>
      </c>
      <c r="I4" s="25">
        <v>2.8000000000000001E-2</v>
      </c>
      <c r="J4" s="23">
        <f t="shared" si="1"/>
        <v>43701.547680000003</v>
      </c>
      <c r="K4" s="23">
        <f t="shared" si="2"/>
        <v>3390.6373200000003</v>
      </c>
      <c r="L4" s="28">
        <f t="shared" si="3"/>
        <v>874</v>
      </c>
      <c r="M4" s="28">
        <f t="shared" si="3"/>
        <v>95</v>
      </c>
      <c r="N4" s="23">
        <v>391</v>
      </c>
      <c r="O4" s="30">
        <v>0.88</v>
      </c>
      <c r="P4" s="30">
        <v>0.74</v>
      </c>
      <c r="Q4" s="29">
        <f t="shared" si="4"/>
        <v>254.61919999999998</v>
      </c>
      <c r="R4" s="21">
        <f t="shared" si="5"/>
        <v>0.28000000000000003</v>
      </c>
      <c r="S4" s="29">
        <f t="shared" si="6"/>
        <v>183.32582399999998</v>
      </c>
      <c r="T4" s="29">
        <f t="shared" si="7"/>
        <v>71.293375999999995</v>
      </c>
      <c r="U4" s="33">
        <v>180</v>
      </c>
      <c r="V4" s="33">
        <v>141</v>
      </c>
    </row>
    <row r="5" spans="1:22" x14ac:dyDescent="0.25">
      <c r="A5" s="23">
        <v>2010</v>
      </c>
      <c r="B5" s="23">
        <v>178</v>
      </c>
      <c r="C5" s="38">
        <f t="shared" si="0"/>
        <v>3560.1691860000005</v>
      </c>
      <c r="D5" s="23">
        <v>0.7</v>
      </c>
      <c r="E5" s="23">
        <v>0.75</v>
      </c>
      <c r="F5" s="23">
        <v>0.8</v>
      </c>
      <c r="G5" s="28">
        <f t="shared" si="8"/>
        <v>49446.794250000006</v>
      </c>
      <c r="H5" s="25">
        <v>2.5000000000000001E-2</v>
      </c>
      <c r="I5" s="25">
        <v>6.9000000000000006E-2</v>
      </c>
      <c r="J5" s="23">
        <f t="shared" si="1"/>
        <v>45886.625064000007</v>
      </c>
      <c r="K5" s="23">
        <f t="shared" si="2"/>
        <v>3560.1691860000005</v>
      </c>
      <c r="L5" s="28">
        <f t="shared" si="3"/>
        <v>1147</v>
      </c>
      <c r="M5" s="28">
        <f t="shared" si="3"/>
        <v>246</v>
      </c>
      <c r="N5" s="23">
        <v>291</v>
      </c>
      <c r="O5" s="30">
        <v>0.88</v>
      </c>
      <c r="P5" s="30">
        <v>0.74</v>
      </c>
      <c r="Q5" s="29">
        <f t="shared" si="4"/>
        <v>189.49919999999997</v>
      </c>
      <c r="R5" s="21">
        <f t="shared" si="5"/>
        <v>0.28000000000000003</v>
      </c>
      <c r="S5" s="29">
        <f t="shared" si="6"/>
        <v>136.43942399999997</v>
      </c>
      <c r="T5" s="29">
        <f t="shared" si="7"/>
        <v>53.059775999999999</v>
      </c>
      <c r="U5" s="33">
        <v>134</v>
      </c>
      <c r="V5" s="33">
        <v>105</v>
      </c>
    </row>
    <row r="6" spans="1:22" x14ac:dyDescent="0.25">
      <c r="A6" s="23">
        <v>2011</v>
      </c>
      <c r="B6" s="23">
        <v>218</v>
      </c>
      <c r="C6" s="38">
        <f t="shared" si="0"/>
        <v>3738.1776453000011</v>
      </c>
      <c r="D6" s="23"/>
      <c r="E6" s="23"/>
      <c r="F6" s="23"/>
      <c r="G6" s="28">
        <f t="shared" si="8"/>
        <v>51919.133962500011</v>
      </c>
      <c r="H6" s="25">
        <v>3.2000000000000001E-2</v>
      </c>
      <c r="I6" s="25">
        <v>5.8000000000000003E-2</v>
      </c>
      <c r="J6" s="23">
        <f t="shared" si="1"/>
        <v>48180.956317200013</v>
      </c>
      <c r="K6" s="23">
        <f t="shared" si="2"/>
        <v>3738.1776453000011</v>
      </c>
      <c r="L6" s="28">
        <f t="shared" si="3"/>
        <v>1542</v>
      </c>
      <c r="M6" s="28">
        <f t="shared" si="3"/>
        <v>217</v>
      </c>
      <c r="N6" s="23">
        <v>321</v>
      </c>
      <c r="O6" s="30">
        <v>0.88</v>
      </c>
      <c r="P6" s="30">
        <v>0.74</v>
      </c>
      <c r="Q6" s="29">
        <f t="shared" si="4"/>
        <v>209.0352</v>
      </c>
      <c r="R6" s="21">
        <f t="shared" si="5"/>
        <v>0.28000000000000003</v>
      </c>
      <c r="S6" s="29">
        <f t="shared" si="6"/>
        <v>150.50534399999998</v>
      </c>
      <c r="T6" s="29">
        <f t="shared" si="7"/>
        <v>58.529856000000009</v>
      </c>
      <c r="U6" s="33">
        <v>148</v>
      </c>
      <c r="V6" s="33">
        <v>116</v>
      </c>
    </row>
    <row r="7" spans="1:22" x14ac:dyDescent="0.25">
      <c r="A7" s="23">
        <v>2012</v>
      </c>
      <c r="B7" s="23">
        <v>200</v>
      </c>
      <c r="C7" s="38">
        <f t="shared" si="0"/>
        <v>3925.0865275650012</v>
      </c>
      <c r="D7" s="23">
        <v>0.88</v>
      </c>
      <c r="E7" s="23">
        <v>0.82</v>
      </c>
      <c r="F7" s="23">
        <v>0.88</v>
      </c>
      <c r="G7" s="28">
        <f t="shared" si="8"/>
        <v>54515.090660625014</v>
      </c>
      <c r="H7" s="25">
        <v>2.9000000000000001E-2</v>
      </c>
      <c r="I7" s="25">
        <v>6.5000000000000002E-2</v>
      </c>
      <c r="J7" s="23">
        <f t="shared" si="1"/>
        <v>50590.004133060014</v>
      </c>
      <c r="K7" s="23">
        <f t="shared" si="2"/>
        <v>3925.0865275650012</v>
      </c>
      <c r="L7" s="28">
        <f t="shared" si="3"/>
        <v>1467</v>
      </c>
      <c r="M7" s="28">
        <f t="shared" si="3"/>
        <v>255</v>
      </c>
      <c r="N7" s="23">
        <v>467</v>
      </c>
      <c r="O7" s="30">
        <v>0.88</v>
      </c>
      <c r="P7" s="30">
        <v>0.74</v>
      </c>
      <c r="Q7" s="29">
        <f t="shared" si="4"/>
        <v>304.11039999999997</v>
      </c>
      <c r="R7" s="21">
        <f t="shared" si="5"/>
        <v>0.28000000000000003</v>
      </c>
      <c r="S7" s="29">
        <f t="shared" si="6"/>
        <v>218.95948799999996</v>
      </c>
      <c r="T7" s="29">
        <f t="shared" si="7"/>
        <v>85.150912000000005</v>
      </c>
      <c r="U7" s="33">
        <v>215</v>
      </c>
      <c r="V7" s="33">
        <v>168</v>
      </c>
    </row>
    <row r="8" spans="1:22" x14ac:dyDescent="0.25">
      <c r="A8" s="23">
        <v>2013</v>
      </c>
      <c r="B8" s="23">
        <v>218</v>
      </c>
      <c r="C8" s="38">
        <f t="shared" si="0"/>
        <v>4121.3408539432512</v>
      </c>
      <c r="D8" s="23">
        <v>0.88</v>
      </c>
      <c r="E8" s="35">
        <v>0.86</v>
      </c>
      <c r="F8" s="23">
        <v>0.9</v>
      </c>
      <c r="G8" s="28">
        <f t="shared" si="8"/>
        <v>57240.845193656263</v>
      </c>
      <c r="H8" s="25">
        <v>3.3000000000000002E-2</v>
      </c>
      <c r="I8" s="25">
        <v>7.0000000000000007E-2</v>
      </c>
      <c r="J8" s="23">
        <f t="shared" si="1"/>
        <v>53119.504339713014</v>
      </c>
      <c r="K8" s="23">
        <f t="shared" si="2"/>
        <v>4121.3408539432512</v>
      </c>
      <c r="L8" s="28">
        <f t="shared" si="3"/>
        <v>1753</v>
      </c>
      <c r="M8" s="28">
        <f t="shared" si="3"/>
        <v>288</v>
      </c>
      <c r="N8" s="23">
        <v>654</v>
      </c>
      <c r="O8" s="30">
        <v>0.94</v>
      </c>
      <c r="P8" s="30">
        <v>0.76</v>
      </c>
      <c r="Q8" s="29">
        <f t="shared" si="4"/>
        <v>467.2176</v>
      </c>
      <c r="R8" s="21">
        <v>0.46</v>
      </c>
      <c r="S8" s="29">
        <f t="shared" si="6"/>
        <v>252.297504</v>
      </c>
      <c r="T8" s="29">
        <f t="shared" si="7"/>
        <v>214.920096</v>
      </c>
      <c r="U8" s="33">
        <v>301</v>
      </c>
      <c r="V8" s="33">
        <v>235</v>
      </c>
    </row>
    <row r="9" spans="1:22" x14ac:dyDescent="0.25">
      <c r="A9" s="23">
        <v>2014</v>
      </c>
      <c r="B9" s="23">
        <v>219</v>
      </c>
      <c r="C9" s="38">
        <f t="shared" si="0"/>
        <v>4327.407896640414</v>
      </c>
      <c r="D9" s="23">
        <v>0.88</v>
      </c>
      <c r="E9" s="35">
        <v>0.89</v>
      </c>
      <c r="F9" s="35">
        <v>0.9</v>
      </c>
      <c r="G9" s="28">
        <f t="shared" si="8"/>
        <v>60102.887453339077</v>
      </c>
      <c r="H9" s="25">
        <v>3.7999999999999999E-2</v>
      </c>
      <c r="I9" s="25">
        <v>8.3000000000000004E-2</v>
      </c>
      <c r="J9" s="23">
        <f t="shared" si="1"/>
        <v>55775.479556698665</v>
      </c>
      <c r="K9" s="23">
        <f t="shared" si="2"/>
        <v>4327.407896640414</v>
      </c>
      <c r="L9" s="28">
        <f t="shared" si="3"/>
        <v>2119</v>
      </c>
      <c r="M9" s="28">
        <f t="shared" si="3"/>
        <v>359</v>
      </c>
      <c r="N9" s="23">
        <v>631</v>
      </c>
      <c r="O9" s="30">
        <v>0.88</v>
      </c>
      <c r="P9" s="30">
        <v>0.74</v>
      </c>
      <c r="Q9" s="29">
        <f t="shared" si="4"/>
        <v>410.90719999999999</v>
      </c>
      <c r="R9" s="21">
        <f t="shared" si="5"/>
        <v>0.28000000000000003</v>
      </c>
      <c r="S9" s="29">
        <f t="shared" si="6"/>
        <v>295.853184</v>
      </c>
      <c r="T9" s="29">
        <f t="shared" si="7"/>
        <v>115.054016</v>
      </c>
      <c r="U9" s="33">
        <v>289</v>
      </c>
      <c r="V9" s="33">
        <v>226</v>
      </c>
    </row>
    <row r="10" spans="1:22" x14ac:dyDescent="0.25">
      <c r="A10" s="23">
        <v>2015</v>
      </c>
      <c r="B10" s="23">
        <v>206</v>
      </c>
      <c r="C10" s="38">
        <f t="shared" si="0"/>
        <v>4543.7782914724339</v>
      </c>
      <c r="D10" s="23">
        <v>0.88</v>
      </c>
      <c r="E10" s="23">
        <v>0.92</v>
      </c>
      <c r="F10" s="23">
        <v>0.92</v>
      </c>
      <c r="G10" s="28">
        <f t="shared" si="8"/>
        <v>63108.03182600603</v>
      </c>
      <c r="H10" s="25">
        <v>3.1E-2</v>
      </c>
      <c r="I10" s="25">
        <v>0.08</v>
      </c>
      <c r="J10" s="23">
        <f t="shared" si="1"/>
        <v>58564.253534533593</v>
      </c>
      <c r="K10" s="23">
        <f t="shared" si="2"/>
        <v>4543.7782914724339</v>
      </c>
      <c r="L10" s="28">
        <f t="shared" si="3"/>
        <v>1815</v>
      </c>
      <c r="M10" s="28">
        <f t="shared" si="3"/>
        <v>364</v>
      </c>
      <c r="N10" s="23">
        <v>948</v>
      </c>
      <c r="O10" s="30">
        <v>0.88</v>
      </c>
      <c r="P10" s="30">
        <v>0.74</v>
      </c>
      <c r="Q10" s="29">
        <f t="shared" si="4"/>
        <v>617.33759999999995</v>
      </c>
      <c r="R10" s="21">
        <f t="shared" si="5"/>
        <v>0.28000000000000003</v>
      </c>
      <c r="S10" s="29">
        <f t="shared" si="6"/>
        <v>444.48307199999994</v>
      </c>
      <c r="T10" s="29">
        <f t="shared" si="7"/>
        <v>172.85452800000002</v>
      </c>
      <c r="U10" s="33">
        <v>435</v>
      </c>
      <c r="V10" s="33">
        <v>341</v>
      </c>
    </row>
    <row r="11" spans="1:22" x14ac:dyDescent="0.25">
      <c r="A11" s="23">
        <v>2016</v>
      </c>
      <c r="B11" s="23">
        <v>233</v>
      </c>
      <c r="C11" s="38">
        <f t="shared" si="0"/>
        <v>4770.9672060460571</v>
      </c>
      <c r="D11" s="23">
        <v>0.88</v>
      </c>
      <c r="E11" s="23">
        <v>0.95</v>
      </c>
      <c r="F11" s="23">
        <v>0.94</v>
      </c>
      <c r="G11" s="28">
        <f t="shared" si="8"/>
        <v>66263.43341730634</v>
      </c>
      <c r="H11" s="25">
        <v>2.5000000000000001E-2</v>
      </c>
      <c r="I11" s="25">
        <v>5.5999999999999994E-2</v>
      </c>
      <c r="J11" s="23">
        <f>G11-K11</f>
        <v>61492.466211260282</v>
      </c>
      <c r="K11" s="23">
        <f t="shared" si="2"/>
        <v>4770.9672060460571</v>
      </c>
      <c r="L11" s="28"/>
      <c r="M11" s="28"/>
      <c r="N11" s="23"/>
      <c r="O11" s="30"/>
      <c r="P11" s="30"/>
      <c r="Q11" s="29"/>
      <c r="R11" s="21"/>
      <c r="S11" s="29"/>
      <c r="T11" s="29"/>
    </row>
    <row r="12" spans="1:22" x14ac:dyDescent="0.25">
      <c r="A12" s="23">
        <v>2017</v>
      </c>
      <c r="B12" s="23">
        <v>194</v>
      </c>
      <c r="C12" s="38">
        <f t="shared" si="0"/>
        <v>5009.5155663483602</v>
      </c>
      <c r="D12" s="23"/>
      <c r="E12" s="23"/>
      <c r="F12" s="23"/>
      <c r="G12" s="28">
        <f t="shared" si="8"/>
        <v>69576.605088171666</v>
      </c>
      <c r="J12" s="23">
        <f t="shared" si="1"/>
        <v>64567.089521823305</v>
      </c>
      <c r="K12" s="23">
        <f t="shared" si="2"/>
        <v>5009.5155663483602</v>
      </c>
      <c r="L12" s="28"/>
    </row>
    <row r="13" spans="1:22" x14ac:dyDescent="0.25">
      <c r="A13" s="23"/>
      <c r="B13" s="23"/>
      <c r="C13" s="38"/>
      <c r="G13" s="28"/>
    </row>
    <row r="14" spans="1:22" x14ac:dyDescent="0.25">
      <c r="B14" s="23"/>
    </row>
    <row r="15" spans="1:22" x14ac:dyDescent="0.25">
      <c r="B15" s="23"/>
    </row>
    <row r="16" spans="1:22" x14ac:dyDescent="0.25">
      <c r="B16" s="23"/>
      <c r="G16" s="23"/>
    </row>
    <row r="17" spans="2:7" x14ac:dyDescent="0.25">
      <c r="B17" s="23"/>
      <c r="G17" s="23"/>
    </row>
    <row r="18" spans="2:7" x14ac:dyDescent="0.25">
      <c r="B18" s="23"/>
      <c r="G18" s="23"/>
    </row>
    <row r="19" spans="2:7" x14ac:dyDescent="0.25">
      <c r="B19" s="23"/>
      <c r="G19" s="23"/>
    </row>
    <row r="20" spans="2:7" x14ac:dyDescent="0.25">
      <c r="B20" s="23"/>
      <c r="G20" s="23"/>
    </row>
    <row r="21" spans="2:7" x14ac:dyDescent="0.25">
      <c r="B21" s="23"/>
      <c r="G21" s="23"/>
    </row>
    <row r="22" spans="2:7" x14ac:dyDescent="0.25">
      <c r="G22" s="23"/>
    </row>
    <row r="23" spans="2:7" x14ac:dyDescent="0.25">
      <c r="G23" s="23"/>
    </row>
    <row r="24" spans="2:7" x14ac:dyDescent="0.25">
      <c r="G24" s="2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topLeftCell="N1" workbookViewId="0">
      <selection activeCell="S2" sqref="S2"/>
    </sheetView>
  </sheetViews>
  <sheetFormatPr defaultRowHeight="15" x14ac:dyDescent="0.25"/>
  <cols>
    <col min="1" max="1" width="5" bestFit="1" customWidth="1"/>
    <col min="2" max="2" width="28.5703125" bestFit="1" customWidth="1"/>
    <col min="3" max="3" width="29.85546875" bestFit="1" customWidth="1"/>
    <col min="4" max="4" width="39.5703125" bestFit="1" customWidth="1"/>
    <col min="5" max="5" width="35.7109375" bestFit="1" customWidth="1"/>
    <col min="6" max="6" width="31.28515625" bestFit="1" customWidth="1"/>
    <col min="7" max="7" width="26.7109375" bestFit="1" customWidth="1"/>
    <col min="8" max="8" width="23.85546875" bestFit="1" customWidth="1"/>
    <col min="9" max="9" width="19.42578125" bestFit="1" customWidth="1"/>
    <col min="10" max="10" width="24.28515625" bestFit="1" customWidth="1"/>
    <col min="11" max="11" width="21.5703125" bestFit="1" customWidth="1"/>
    <col min="12" max="12" width="17" bestFit="1" customWidth="1"/>
    <col min="13" max="13" width="38.140625" bestFit="1" customWidth="1"/>
    <col min="14" max="14" width="35.28515625" bestFit="1" customWidth="1"/>
    <col min="15" max="15" width="30.85546875" bestFit="1" customWidth="1"/>
    <col min="16" max="16" width="21.5703125" bestFit="1" customWidth="1"/>
    <col min="17" max="17" width="18.7109375" bestFit="1" customWidth="1"/>
    <col min="18" max="18" width="14.28515625" bestFit="1" customWidth="1"/>
    <col min="19" max="19" width="26.5703125" bestFit="1" customWidth="1"/>
    <col min="20" max="20" width="23.7109375" bestFit="1" customWidth="1"/>
    <col min="21" max="21" width="19.28515625" bestFit="1" customWidth="1"/>
  </cols>
  <sheetData>
    <row r="1" spans="1:21" x14ac:dyDescent="0.25">
      <c r="A1" t="s">
        <v>32</v>
      </c>
      <c r="B1" t="s">
        <v>64</v>
      </c>
      <c r="C1" t="s">
        <v>57</v>
      </c>
      <c r="D1" t="s">
        <v>58</v>
      </c>
      <c r="E1" t="s">
        <v>60</v>
      </c>
      <c r="F1" t="s">
        <v>59</v>
      </c>
      <c r="G1" t="s">
        <v>61</v>
      </c>
      <c r="H1" t="s">
        <v>62</v>
      </c>
      <c r="I1" t="s">
        <v>63</v>
      </c>
      <c r="J1" t="s">
        <v>65</v>
      </c>
      <c r="K1" t="s">
        <v>67</v>
      </c>
      <c r="L1" t="s">
        <v>66</v>
      </c>
      <c r="M1" t="s">
        <v>71</v>
      </c>
      <c r="N1" t="s">
        <v>72</v>
      </c>
      <c r="O1" t="s">
        <v>73</v>
      </c>
      <c r="P1" t="s">
        <v>105</v>
      </c>
      <c r="Q1" t="s">
        <v>106</v>
      </c>
      <c r="R1" t="s">
        <v>107</v>
      </c>
      <c r="S1" t="s">
        <v>110</v>
      </c>
      <c r="T1" t="s">
        <v>108</v>
      </c>
      <c r="U1" t="s">
        <v>109</v>
      </c>
    </row>
    <row r="2" spans="1:21" x14ac:dyDescent="0.25">
      <c r="A2">
        <v>2000</v>
      </c>
      <c r="D2" s="17">
        <v>0.33333333333333331</v>
      </c>
      <c r="E2" s="17">
        <v>0.33333333333333331</v>
      </c>
      <c r="F2" s="17">
        <v>0.33333333333333331</v>
      </c>
      <c r="G2" s="17">
        <v>0.42</v>
      </c>
      <c r="H2" s="17">
        <f>G2</f>
        <v>0.42</v>
      </c>
      <c r="I2" s="17">
        <v>0.42</v>
      </c>
      <c r="J2" s="17">
        <v>0.69</v>
      </c>
      <c r="K2" s="17">
        <v>0.69</v>
      </c>
      <c r="L2" s="17">
        <v>0.9</v>
      </c>
      <c r="M2" s="17">
        <v>224</v>
      </c>
      <c r="N2" s="17">
        <v>224</v>
      </c>
      <c r="O2" s="17">
        <v>133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</row>
    <row r="3" spans="1:21" x14ac:dyDescent="0.25">
      <c r="A3">
        <v>2010</v>
      </c>
      <c r="B3">
        <v>0.2</v>
      </c>
      <c r="C3">
        <v>1</v>
      </c>
      <c r="D3" s="17"/>
      <c r="E3" s="17"/>
      <c r="F3" s="17"/>
      <c r="H3" s="17"/>
    </row>
    <row r="4" spans="1:21" x14ac:dyDescent="0.25">
      <c r="A4">
        <v>2018</v>
      </c>
      <c r="B4">
        <v>0.2</v>
      </c>
      <c r="C4">
        <v>1</v>
      </c>
      <c r="D4" s="17"/>
      <c r="E4" s="17"/>
      <c r="F4" s="17"/>
      <c r="H4" s="17"/>
    </row>
    <row r="5" spans="1:21" x14ac:dyDescent="0.25">
      <c r="A5">
        <v>2023</v>
      </c>
      <c r="D5" s="17"/>
      <c r="E5" s="17"/>
      <c r="F5" s="17"/>
      <c r="H5" s="17"/>
    </row>
    <row r="6" spans="1:21" x14ac:dyDescent="0.25">
      <c r="A6">
        <v>2030</v>
      </c>
      <c r="B6">
        <v>0.2</v>
      </c>
      <c r="C6">
        <v>1</v>
      </c>
      <c r="D6" s="17"/>
      <c r="E6" s="17"/>
      <c r="F6" s="17"/>
      <c r="H6" s="17"/>
    </row>
    <row r="7" spans="1:21" x14ac:dyDescent="0.25">
      <c r="A7">
        <v>2040</v>
      </c>
      <c r="B7">
        <v>0.2</v>
      </c>
      <c r="C7">
        <v>1</v>
      </c>
      <c r="D7" s="17">
        <v>0.33333333333333331</v>
      </c>
      <c r="E7" s="17">
        <v>0.33333333333333331</v>
      </c>
      <c r="F7" s="17">
        <v>0.33333333333333331</v>
      </c>
      <c r="G7" s="17">
        <v>0.42</v>
      </c>
      <c r="H7" s="17">
        <f>G7</f>
        <v>0.42</v>
      </c>
      <c r="I7" s="17">
        <v>0.42</v>
      </c>
      <c r="J7" s="17">
        <v>0.69</v>
      </c>
      <c r="K7" s="17">
        <v>0.69</v>
      </c>
      <c r="L7" s="17">
        <v>0.9</v>
      </c>
      <c r="M7" s="17">
        <v>224</v>
      </c>
      <c r="N7" s="17">
        <v>224</v>
      </c>
      <c r="O7" s="17">
        <v>133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  <row r="3" spans="1:1" x14ac:dyDescent="0.25">
      <c r="A3" t="s">
        <v>87</v>
      </c>
    </row>
    <row r="4" spans="1:1" x14ac:dyDescent="0.25">
      <c r="A4">
        <v>0.75</v>
      </c>
    </row>
    <row r="7" spans="1:1" x14ac:dyDescent="0.25">
      <c r="A7" t="s">
        <v>88</v>
      </c>
    </row>
    <row r="8" spans="1:1" x14ac:dyDescent="0.25">
      <c r="A8" t="s">
        <v>89</v>
      </c>
    </row>
    <row r="9" spans="1:1" x14ac:dyDescent="0.25">
      <c r="A9">
        <v>180</v>
      </c>
    </row>
    <row r="12" spans="1:1" x14ac:dyDescent="0.25">
      <c r="A12" t="s">
        <v>90</v>
      </c>
    </row>
    <row r="13" spans="1:1" x14ac:dyDescent="0.25">
      <c r="A13" t="s">
        <v>91</v>
      </c>
    </row>
    <row r="17" spans="1:1" x14ac:dyDescent="0.25">
      <c r="A17" t="s">
        <v>92</v>
      </c>
    </row>
    <row r="22" spans="1:1" x14ac:dyDescent="0.25">
      <c r="A22" t="s">
        <v>93</v>
      </c>
    </row>
    <row r="23" spans="1:1" x14ac:dyDescent="0.25">
      <c r="A23" t="s">
        <v>75</v>
      </c>
    </row>
    <row r="24" spans="1:1" x14ac:dyDescent="0.25">
      <c r="A24">
        <v>0.1</v>
      </c>
    </row>
    <row r="27" spans="1:1" x14ac:dyDescent="0.25">
      <c r="A27" t="s">
        <v>94</v>
      </c>
    </row>
    <row r="28" spans="1:1" x14ac:dyDescent="0.25">
      <c r="A2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G17" sqref="G17"/>
    </sheetView>
  </sheetViews>
  <sheetFormatPr defaultColWidth="8.85546875" defaultRowHeight="15" x14ac:dyDescent="0.25"/>
  <cols>
    <col min="1" max="1" width="5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50.85546875" bestFit="1" customWidth="1"/>
    <col min="9" max="9" width="51" bestFit="1" customWidth="1"/>
    <col min="10" max="10" width="32.5703125" bestFit="1" customWidth="1"/>
    <col min="11" max="11" width="33.85546875" bestFit="1" customWidth="1"/>
    <col min="12" max="13" width="32.5703125" customWidth="1"/>
    <col min="14" max="14" width="35" bestFit="1" customWidth="1"/>
    <col min="15" max="15" width="17.5703125" bestFit="1" customWidth="1"/>
    <col min="16" max="16" width="17.42578125" bestFit="1" customWidth="1"/>
  </cols>
  <sheetData>
    <row r="1" spans="1:16" x14ac:dyDescent="0.25">
      <c r="A1" s="22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100</v>
      </c>
      <c r="J1" s="22" t="s">
        <v>50</v>
      </c>
      <c r="K1" s="22" t="s">
        <v>99</v>
      </c>
      <c r="L1" s="22" t="s">
        <v>55</v>
      </c>
      <c r="M1" s="22" t="s">
        <v>56</v>
      </c>
      <c r="N1" s="22" t="s">
        <v>96</v>
      </c>
      <c r="O1" s="22" t="s">
        <v>97</v>
      </c>
      <c r="P1" s="22" t="s">
        <v>98</v>
      </c>
    </row>
    <row r="2" spans="1:16" x14ac:dyDescent="0.25">
      <c r="A2" s="23">
        <v>2007</v>
      </c>
      <c r="B2" s="23">
        <v>128</v>
      </c>
      <c r="C2" s="24">
        <v>3075</v>
      </c>
      <c r="D2" s="24">
        <v>0.7</v>
      </c>
      <c r="E2" s="24">
        <v>0.75</v>
      </c>
      <c r="F2" s="24">
        <v>0.8</v>
      </c>
      <c r="G2" s="23">
        <v>42714</v>
      </c>
      <c r="H2" s="25">
        <v>1.26E-2</v>
      </c>
      <c r="I2" s="25">
        <v>2.1499999999999998E-2</v>
      </c>
      <c r="J2" s="23">
        <v>39639</v>
      </c>
      <c r="K2" s="23">
        <v>3075</v>
      </c>
      <c r="L2" s="28">
        <f>ROUND(H2*J2,0)</f>
        <v>499</v>
      </c>
      <c r="M2" s="28">
        <f>ROUND(I2*K2,0)</f>
        <v>66</v>
      </c>
      <c r="N2" s="26"/>
      <c r="O2" s="26"/>
      <c r="P2" s="26"/>
    </row>
    <row r="3" spans="1:16" x14ac:dyDescent="0.25">
      <c r="A3" s="23">
        <v>2008</v>
      </c>
      <c r="B3" s="26"/>
      <c r="C3" s="23">
        <v>3135</v>
      </c>
      <c r="D3" s="26"/>
      <c r="E3" s="26"/>
      <c r="F3" s="26"/>
      <c r="G3" s="23">
        <v>43538</v>
      </c>
      <c r="H3" s="25">
        <v>1.6199999999999999E-2</v>
      </c>
      <c r="I3" s="25">
        <v>1.8700000000000001E-2</v>
      </c>
      <c r="J3" s="23">
        <v>40403</v>
      </c>
      <c r="K3" s="23">
        <v>3135</v>
      </c>
      <c r="L3" s="28">
        <f t="shared" ref="L3:M9" si="0">ROUND(H3*J3,0)</f>
        <v>655</v>
      </c>
      <c r="M3" s="28">
        <f t="shared" si="0"/>
        <v>59</v>
      </c>
      <c r="N3" s="26"/>
      <c r="O3" s="26"/>
      <c r="P3" s="26"/>
    </row>
    <row r="4" spans="1:16" x14ac:dyDescent="0.25">
      <c r="A4" s="23">
        <v>2009</v>
      </c>
      <c r="B4" s="26"/>
      <c r="C4" s="23">
        <v>3203</v>
      </c>
      <c r="D4" s="26"/>
      <c r="E4" s="26"/>
      <c r="F4" s="26"/>
      <c r="G4" s="23">
        <v>44491</v>
      </c>
      <c r="H4" s="25">
        <v>1.37E-2</v>
      </c>
      <c r="I4" s="25">
        <v>2.1899999999999999E-2</v>
      </c>
      <c r="J4" s="23">
        <v>41288</v>
      </c>
      <c r="K4" s="23">
        <v>3203</v>
      </c>
      <c r="L4" s="28">
        <f t="shared" si="0"/>
        <v>566</v>
      </c>
      <c r="M4" s="28">
        <f t="shared" si="0"/>
        <v>70</v>
      </c>
      <c r="N4" s="23">
        <v>391</v>
      </c>
      <c r="O4" s="23">
        <v>180</v>
      </c>
      <c r="P4" s="23">
        <v>141</v>
      </c>
    </row>
    <row r="5" spans="1:16" x14ac:dyDescent="0.25">
      <c r="A5" s="23">
        <v>2010</v>
      </c>
      <c r="B5" s="23">
        <v>128</v>
      </c>
      <c r="C5" s="23">
        <v>3262</v>
      </c>
      <c r="D5" s="23">
        <v>0.7</v>
      </c>
      <c r="E5" s="23">
        <v>0.75</v>
      </c>
      <c r="F5" s="23">
        <v>0.8</v>
      </c>
      <c r="G5" s="23">
        <v>45303</v>
      </c>
      <c r="H5" s="25">
        <v>7.1999999999999998E-3</v>
      </c>
      <c r="I5" s="25">
        <v>2.1899999999999999E-2</v>
      </c>
      <c r="J5" s="23">
        <v>42041</v>
      </c>
      <c r="K5" s="23">
        <v>3262</v>
      </c>
      <c r="L5" s="28">
        <f t="shared" si="0"/>
        <v>303</v>
      </c>
      <c r="M5" s="28">
        <f t="shared" si="0"/>
        <v>71</v>
      </c>
      <c r="N5" s="23">
        <v>291</v>
      </c>
      <c r="O5" s="23">
        <v>134</v>
      </c>
      <c r="P5" s="23">
        <v>105</v>
      </c>
    </row>
    <row r="6" spans="1:16" x14ac:dyDescent="0.25">
      <c r="A6" s="23">
        <v>2011</v>
      </c>
      <c r="B6" s="23">
        <v>130</v>
      </c>
      <c r="C6" s="23">
        <v>3307</v>
      </c>
      <c r="D6" s="26"/>
      <c r="E6" s="26"/>
      <c r="F6" s="26"/>
      <c r="G6" s="23">
        <v>45929</v>
      </c>
      <c r="H6" s="25">
        <v>7.1000000000000004E-3</v>
      </c>
      <c r="I6" s="25">
        <v>1.55E-2</v>
      </c>
      <c r="J6" s="23">
        <v>42622</v>
      </c>
      <c r="K6" s="23">
        <v>3307</v>
      </c>
      <c r="L6" s="28">
        <f t="shared" si="0"/>
        <v>303</v>
      </c>
      <c r="M6" s="28">
        <f t="shared" si="0"/>
        <v>51</v>
      </c>
      <c r="N6" s="23">
        <v>321</v>
      </c>
      <c r="O6" s="23">
        <v>148</v>
      </c>
      <c r="P6" s="23">
        <v>116</v>
      </c>
    </row>
    <row r="7" spans="1:16" x14ac:dyDescent="0.25">
      <c r="A7" s="23">
        <v>2012</v>
      </c>
      <c r="B7" s="23">
        <v>131</v>
      </c>
      <c r="C7" s="23">
        <v>3362</v>
      </c>
      <c r="D7" s="26"/>
      <c r="E7" s="26"/>
      <c r="F7" s="26"/>
      <c r="G7" s="23">
        <v>46691</v>
      </c>
      <c r="H7" s="25">
        <v>1.11E-2</v>
      </c>
      <c r="I7" s="25">
        <v>1.7600000000000001E-2</v>
      </c>
      <c r="J7" s="23">
        <v>43329</v>
      </c>
      <c r="K7" s="23">
        <v>3362</v>
      </c>
      <c r="L7" s="28">
        <f t="shared" si="0"/>
        <v>481</v>
      </c>
      <c r="M7" s="28">
        <f t="shared" si="0"/>
        <v>59</v>
      </c>
      <c r="N7" s="23">
        <v>467</v>
      </c>
      <c r="O7" s="23">
        <v>215</v>
      </c>
      <c r="P7" s="23">
        <v>168</v>
      </c>
    </row>
    <row r="8" spans="1:16" x14ac:dyDescent="0.25">
      <c r="A8" s="23">
        <v>2013</v>
      </c>
      <c r="B8" s="23">
        <v>127</v>
      </c>
      <c r="C8" s="23">
        <v>3421</v>
      </c>
      <c r="D8" s="26"/>
      <c r="E8" s="26"/>
      <c r="F8" s="26"/>
      <c r="G8" s="23">
        <v>47513</v>
      </c>
      <c r="H8" s="25">
        <v>1.01E-2</v>
      </c>
      <c r="I8" s="25">
        <v>2.41E-2</v>
      </c>
      <c r="J8" s="23">
        <v>44092</v>
      </c>
      <c r="K8" s="23">
        <v>3421</v>
      </c>
      <c r="L8" s="28">
        <f t="shared" si="0"/>
        <v>445</v>
      </c>
      <c r="M8" s="28">
        <f t="shared" si="0"/>
        <v>82</v>
      </c>
      <c r="N8" s="23">
        <v>654</v>
      </c>
      <c r="O8" s="23">
        <v>301</v>
      </c>
      <c r="P8" s="23">
        <v>235</v>
      </c>
    </row>
    <row r="9" spans="1:16" x14ac:dyDescent="0.25">
      <c r="A9" s="23">
        <v>2014</v>
      </c>
      <c r="B9" s="23">
        <v>133</v>
      </c>
      <c r="C9" s="23">
        <v>3485</v>
      </c>
      <c r="D9" s="26"/>
      <c r="E9" s="26"/>
      <c r="F9" s="26"/>
      <c r="G9" s="23">
        <v>48399</v>
      </c>
      <c r="H9" s="25">
        <v>1.37E-2</v>
      </c>
      <c r="I9" s="25">
        <v>2.5999999999999999E-2</v>
      </c>
      <c r="J9" s="23">
        <v>44914</v>
      </c>
      <c r="K9" s="23">
        <v>3485</v>
      </c>
      <c r="L9" s="28">
        <f t="shared" si="0"/>
        <v>615</v>
      </c>
      <c r="M9" s="28">
        <f t="shared" si="0"/>
        <v>91</v>
      </c>
      <c r="N9" s="23">
        <v>629</v>
      </c>
      <c r="O9" s="23">
        <v>289</v>
      </c>
      <c r="P9" s="23">
        <v>226</v>
      </c>
    </row>
    <row r="10" spans="1:16" x14ac:dyDescent="0.25">
      <c r="A10" s="23">
        <v>2015</v>
      </c>
      <c r="B10" s="23">
        <v>126</v>
      </c>
      <c r="C10" s="23">
        <v>3549</v>
      </c>
      <c r="D10" s="23">
        <v>0.9</v>
      </c>
      <c r="E10" s="23">
        <v>0.83</v>
      </c>
      <c r="F10" s="23">
        <v>0.92</v>
      </c>
      <c r="G10" s="23">
        <v>49289</v>
      </c>
      <c r="H10" s="27"/>
      <c r="I10" s="26"/>
      <c r="J10" s="23">
        <v>45740</v>
      </c>
      <c r="K10" s="23">
        <v>3549</v>
      </c>
      <c r="L10" s="28"/>
      <c r="M10" s="28"/>
      <c r="N10" s="23">
        <v>946</v>
      </c>
      <c r="O10" s="23">
        <v>435</v>
      </c>
      <c r="P10" s="23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G3" sqref="G3"/>
    </sheetView>
  </sheetViews>
  <sheetFormatPr defaultColWidth="8.85546875" defaultRowHeight="15" x14ac:dyDescent="0.25"/>
  <cols>
    <col min="1" max="1" width="5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50.85546875" bestFit="1" customWidth="1"/>
    <col min="9" max="9" width="51" bestFit="1" customWidth="1"/>
    <col min="10" max="10" width="32.5703125" bestFit="1" customWidth="1"/>
    <col min="11" max="11" width="33.85546875" bestFit="1" customWidth="1"/>
    <col min="12" max="13" width="32.5703125" customWidth="1"/>
    <col min="14" max="14" width="35" bestFit="1" customWidth="1"/>
    <col min="15" max="15" width="14.85546875" customWidth="1"/>
    <col min="16" max="16" width="14.42578125" customWidth="1"/>
    <col min="17" max="17" width="38.85546875" bestFit="1" customWidth="1"/>
    <col min="18" max="18" width="6.7109375" bestFit="1" customWidth="1"/>
    <col min="19" max="19" width="16.28515625" bestFit="1" customWidth="1"/>
    <col min="20" max="20" width="16.5703125" bestFit="1" customWidth="1"/>
    <col min="21" max="21" width="17.5703125" bestFit="1" customWidth="1"/>
    <col min="22" max="22" width="17.42578125" bestFit="1" customWidth="1"/>
  </cols>
  <sheetData>
    <row r="1" spans="1:22" x14ac:dyDescent="0.25">
      <c r="A1" s="22" t="s">
        <v>32</v>
      </c>
      <c r="B1" s="22" t="s">
        <v>34</v>
      </c>
      <c r="C1" s="22" t="s">
        <v>33</v>
      </c>
      <c r="D1" s="22" t="s">
        <v>51</v>
      </c>
      <c r="E1" s="22" t="s">
        <v>52</v>
      </c>
      <c r="F1" s="22" t="s">
        <v>53</v>
      </c>
      <c r="G1" s="22" t="s">
        <v>41</v>
      </c>
      <c r="H1" s="22" t="s">
        <v>54</v>
      </c>
      <c r="I1" s="22" t="s">
        <v>100</v>
      </c>
      <c r="J1" s="22" t="s">
        <v>50</v>
      </c>
      <c r="K1" s="22" t="s">
        <v>99</v>
      </c>
      <c r="L1" s="22" t="s">
        <v>55</v>
      </c>
      <c r="M1" s="22" t="s">
        <v>56</v>
      </c>
      <c r="N1" s="22" t="s">
        <v>96</v>
      </c>
      <c r="O1" s="22" t="s">
        <v>102</v>
      </c>
      <c r="P1" s="22" t="s">
        <v>103</v>
      </c>
      <c r="Q1" s="22" t="s">
        <v>101</v>
      </c>
      <c r="R1" s="22" t="s">
        <v>104</v>
      </c>
      <c r="S1" s="22" t="s">
        <v>97</v>
      </c>
      <c r="T1" s="22" t="s">
        <v>98</v>
      </c>
      <c r="U1" s="31" t="s">
        <v>97</v>
      </c>
      <c r="V1" s="31" t="s">
        <v>98</v>
      </c>
    </row>
    <row r="2" spans="1:22" x14ac:dyDescent="0.25">
      <c r="A2" s="23">
        <v>2007</v>
      </c>
      <c r="B2" s="23"/>
      <c r="C2" s="34">
        <v>3075</v>
      </c>
      <c r="D2" s="34">
        <v>0.7</v>
      </c>
      <c r="E2" s="34">
        <v>0.75</v>
      </c>
      <c r="F2" s="34">
        <v>0.8</v>
      </c>
      <c r="G2" s="23">
        <v>42714</v>
      </c>
      <c r="H2" s="25">
        <v>2.1999999999999999E-2</v>
      </c>
      <c r="I2" s="25">
        <v>6.2E-2</v>
      </c>
      <c r="J2" s="23">
        <f>G2-K2</f>
        <v>39639</v>
      </c>
      <c r="K2" s="23">
        <f>C2</f>
        <v>3075</v>
      </c>
      <c r="L2" s="28">
        <f>ROUND(H2*J2,0)</f>
        <v>872</v>
      </c>
      <c r="M2" s="28">
        <f>ROUND(I2*K2,0)</f>
        <v>191</v>
      </c>
      <c r="N2" s="23">
        <v>422</v>
      </c>
      <c r="O2" s="30">
        <v>0.88</v>
      </c>
      <c r="P2" s="30">
        <v>0.74</v>
      </c>
      <c r="Q2" s="29">
        <f>N2*O2*P2</f>
        <v>274.8064</v>
      </c>
      <c r="R2" s="21">
        <f>0.28</f>
        <v>0.28000000000000003</v>
      </c>
      <c r="S2" s="29">
        <f>Q2-T2</f>
        <v>197.86060799999998</v>
      </c>
      <c r="T2" s="29">
        <f>Q2*R2</f>
        <v>76.945792000000012</v>
      </c>
      <c r="U2" s="32"/>
      <c r="V2" s="32"/>
    </row>
    <row r="3" spans="1:22" x14ac:dyDescent="0.25">
      <c r="A3" s="23">
        <v>2008</v>
      </c>
      <c r="B3" s="26"/>
      <c r="C3" s="23">
        <v>3135</v>
      </c>
      <c r="D3" s="26"/>
      <c r="E3" s="26"/>
      <c r="F3" s="26"/>
      <c r="G3" s="23">
        <v>43538</v>
      </c>
      <c r="H3" s="25">
        <v>2.1000000000000001E-2</v>
      </c>
      <c r="I3" s="25">
        <v>4.2999999999999997E-2</v>
      </c>
      <c r="J3" s="23">
        <f t="shared" ref="J3:J12" si="0">G3-K3</f>
        <v>40403</v>
      </c>
      <c r="K3" s="23">
        <f t="shared" ref="K3:K12" si="1">C3</f>
        <v>3135</v>
      </c>
      <c r="L3" s="28">
        <f t="shared" ref="L3:M11" si="2">ROUND(H3*J3,0)</f>
        <v>848</v>
      </c>
      <c r="M3" s="28">
        <f t="shared" si="2"/>
        <v>135</v>
      </c>
      <c r="N3" s="23">
        <v>381</v>
      </c>
      <c r="O3" s="30">
        <v>0.88</v>
      </c>
      <c r="P3" s="30">
        <v>0.74</v>
      </c>
      <c r="Q3" s="29">
        <f t="shared" ref="Q3:Q11" si="3">N3*O3*P3</f>
        <v>248.10720000000001</v>
      </c>
      <c r="R3" s="21">
        <f t="shared" ref="R3:R11" si="4">0.28</f>
        <v>0.28000000000000003</v>
      </c>
      <c r="S3" s="29">
        <f t="shared" ref="S3:S11" si="5">Q3-T3</f>
        <v>178.63718399999999</v>
      </c>
      <c r="T3" s="29">
        <f t="shared" ref="T3:T11" si="6">Q3*R3</f>
        <v>69.470016000000015</v>
      </c>
      <c r="U3" s="32"/>
      <c r="V3" s="32"/>
    </row>
    <row r="4" spans="1:22" x14ac:dyDescent="0.25">
      <c r="A4" s="23">
        <v>2009</v>
      </c>
      <c r="B4" s="26"/>
      <c r="C4" s="23">
        <v>3203</v>
      </c>
      <c r="D4" s="26"/>
      <c r="E4" s="26"/>
      <c r="F4" s="26"/>
      <c r="G4" s="23">
        <v>44491</v>
      </c>
      <c r="H4" s="25">
        <v>0.02</v>
      </c>
      <c r="I4" s="25">
        <v>2.8000000000000001E-2</v>
      </c>
      <c r="J4" s="23">
        <f t="shared" si="0"/>
        <v>41288</v>
      </c>
      <c r="K4" s="23">
        <f t="shared" si="1"/>
        <v>3203</v>
      </c>
      <c r="L4" s="28">
        <f t="shared" si="2"/>
        <v>826</v>
      </c>
      <c r="M4" s="28">
        <f t="shared" si="2"/>
        <v>90</v>
      </c>
      <c r="N4" s="23">
        <v>391</v>
      </c>
      <c r="O4" s="30">
        <v>0.88</v>
      </c>
      <c r="P4" s="30">
        <v>0.74</v>
      </c>
      <c r="Q4" s="29">
        <f t="shared" si="3"/>
        <v>254.61919999999998</v>
      </c>
      <c r="R4" s="21">
        <f t="shared" si="4"/>
        <v>0.28000000000000003</v>
      </c>
      <c r="S4" s="29">
        <f t="shared" si="5"/>
        <v>183.32582399999998</v>
      </c>
      <c r="T4" s="29">
        <f t="shared" si="6"/>
        <v>71.293375999999995</v>
      </c>
      <c r="U4" s="33">
        <v>180</v>
      </c>
      <c r="V4" s="33">
        <v>141</v>
      </c>
    </row>
    <row r="5" spans="1:22" x14ac:dyDescent="0.25">
      <c r="A5" s="23">
        <v>2010</v>
      </c>
      <c r="B5" s="23">
        <v>178</v>
      </c>
      <c r="C5" s="23">
        <v>3262</v>
      </c>
      <c r="D5" s="23">
        <v>0.7</v>
      </c>
      <c r="E5" s="23">
        <v>0.75</v>
      </c>
      <c r="F5" s="23">
        <v>0.8</v>
      </c>
      <c r="G5" s="23">
        <v>45303</v>
      </c>
      <c r="H5" s="25">
        <v>2.5000000000000001E-2</v>
      </c>
      <c r="I5" s="25">
        <v>6.9000000000000006E-2</v>
      </c>
      <c r="J5" s="23">
        <f t="shared" si="0"/>
        <v>42041</v>
      </c>
      <c r="K5" s="23">
        <f t="shared" si="1"/>
        <v>3262</v>
      </c>
      <c r="L5" s="28">
        <f t="shared" si="2"/>
        <v>1051</v>
      </c>
      <c r="M5" s="28">
        <f t="shared" si="2"/>
        <v>225</v>
      </c>
      <c r="N5" s="23">
        <v>291</v>
      </c>
      <c r="O5" s="30">
        <v>0.88</v>
      </c>
      <c r="P5" s="30">
        <v>0.74</v>
      </c>
      <c r="Q5" s="29">
        <f t="shared" si="3"/>
        <v>189.49919999999997</v>
      </c>
      <c r="R5" s="21">
        <f t="shared" si="4"/>
        <v>0.28000000000000003</v>
      </c>
      <c r="S5" s="29">
        <f t="shared" si="5"/>
        <v>136.43942399999997</v>
      </c>
      <c r="T5" s="29">
        <f t="shared" si="6"/>
        <v>53.059775999999999</v>
      </c>
      <c r="U5" s="33">
        <v>134</v>
      </c>
      <c r="V5" s="33">
        <v>105</v>
      </c>
    </row>
    <row r="6" spans="1:22" x14ac:dyDescent="0.25">
      <c r="A6" s="23">
        <v>2011</v>
      </c>
      <c r="B6" s="23">
        <v>218</v>
      </c>
      <c r="C6" s="23">
        <v>3307</v>
      </c>
      <c r="D6" s="26"/>
      <c r="E6" s="26"/>
      <c r="F6" s="26"/>
      <c r="G6" s="23">
        <v>45929</v>
      </c>
      <c r="H6" s="25">
        <v>3.2000000000000001E-2</v>
      </c>
      <c r="I6" s="25">
        <v>5.8000000000000003E-2</v>
      </c>
      <c r="J6" s="23">
        <f t="shared" si="0"/>
        <v>42622</v>
      </c>
      <c r="K6" s="23">
        <f t="shared" si="1"/>
        <v>3307</v>
      </c>
      <c r="L6" s="28">
        <f t="shared" si="2"/>
        <v>1364</v>
      </c>
      <c r="M6" s="28">
        <f t="shared" si="2"/>
        <v>192</v>
      </c>
      <c r="N6" s="23">
        <v>321</v>
      </c>
      <c r="O6" s="30">
        <v>0.88</v>
      </c>
      <c r="P6" s="30">
        <v>0.74</v>
      </c>
      <c r="Q6" s="29">
        <f t="shared" si="3"/>
        <v>209.0352</v>
      </c>
      <c r="R6" s="21">
        <f t="shared" si="4"/>
        <v>0.28000000000000003</v>
      </c>
      <c r="S6" s="29">
        <f t="shared" si="5"/>
        <v>150.50534399999998</v>
      </c>
      <c r="T6" s="29">
        <f t="shared" si="6"/>
        <v>58.529856000000009</v>
      </c>
      <c r="U6" s="33">
        <v>148</v>
      </c>
      <c r="V6" s="33">
        <v>116</v>
      </c>
    </row>
    <row r="7" spans="1:22" x14ac:dyDescent="0.25">
      <c r="A7" s="23">
        <v>2012</v>
      </c>
      <c r="B7" s="23">
        <v>200</v>
      </c>
      <c r="C7" s="23">
        <v>3362</v>
      </c>
      <c r="D7" s="26"/>
      <c r="E7" s="26"/>
      <c r="F7" s="26"/>
      <c r="G7" s="23">
        <v>46691</v>
      </c>
      <c r="H7" s="25">
        <v>2.9000000000000001E-2</v>
      </c>
      <c r="I7" s="25">
        <v>6.5000000000000002E-2</v>
      </c>
      <c r="J7" s="23">
        <f t="shared" si="0"/>
        <v>43329</v>
      </c>
      <c r="K7" s="23">
        <f t="shared" si="1"/>
        <v>3362</v>
      </c>
      <c r="L7" s="28">
        <f t="shared" si="2"/>
        <v>1257</v>
      </c>
      <c r="M7" s="28">
        <f t="shared" si="2"/>
        <v>219</v>
      </c>
      <c r="N7" s="23">
        <v>467</v>
      </c>
      <c r="O7" s="30">
        <v>0.88</v>
      </c>
      <c r="P7" s="30">
        <v>0.74</v>
      </c>
      <c r="Q7" s="29">
        <f t="shared" si="3"/>
        <v>304.11039999999997</v>
      </c>
      <c r="R7" s="21">
        <f t="shared" si="4"/>
        <v>0.28000000000000003</v>
      </c>
      <c r="S7" s="29">
        <f t="shared" si="5"/>
        <v>218.95948799999996</v>
      </c>
      <c r="T7" s="29">
        <f t="shared" si="6"/>
        <v>85.150912000000005</v>
      </c>
      <c r="U7" s="33">
        <v>215</v>
      </c>
      <c r="V7" s="33">
        <v>168</v>
      </c>
    </row>
    <row r="8" spans="1:22" x14ac:dyDescent="0.25">
      <c r="A8" s="23">
        <v>2013</v>
      </c>
      <c r="B8" s="23">
        <v>218</v>
      </c>
      <c r="C8" s="23">
        <v>3421</v>
      </c>
      <c r="D8" s="26"/>
      <c r="E8" s="26"/>
      <c r="F8" s="26"/>
      <c r="G8" s="23">
        <v>47513</v>
      </c>
      <c r="H8" s="25">
        <v>3.3000000000000002E-2</v>
      </c>
      <c r="I8" s="25">
        <v>7.0000000000000007E-2</v>
      </c>
      <c r="J8" s="23">
        <f t="shared" si="0"/>
        <v>44092</v>
      </c>
      <c r="K8" s="23">
        <f t="shared" si="1"/>
        <v>3421</v>
      </c>
      <c r="L8" s="28">
        <f t="shared" si="2"/>
        <v>1455</v>
      </c>
      <c r="M8" s="28">
        <f t="shared" si="2"/>
        <v>239</v>
      </c>
      <c r="N8" s="23">
        <v>654</v>
      </c>
      <c r="O8" s="30">
        <v>0.94</v>
      </c>
      <c r="P8" s="30">
        <v>0.76</v>
      </c>
      <c r="Q8" s="29">
        <f t="shared" si="3"/>
        <v>467.2176</v>
      </c>
      <c r="R8" s="21">
        <v>0.46</v>
      </c>
      <c r="S8" s="29">
        <f t="shared" si="5"/>
        <v>252.297504</v>
      </c>
      <c r="T8" s="29">
        <f t="shared" si="6"/>
        <v>214.920096</v>
      </c>
      <c r="U8" s="33">
        <v>301</v>
      </c>
      <c r="V8" s="33">
        <v>235</v>
      </c>
    </row>
    <row r="9" spans="1:22" x14ac:dyDescent="0.25">
      <c r="A9" s="23">
        <v>2014</v>
      </c>
      <c r="B9" s="23">
        <v>219</v>
      </c>
      <c r="C9" s="23">
        <v>3485</v>
      </c>
      <c r="D9" s="26"/>
      <c r="E9" s="26"/>
      <c r="F9" s="26"/>
      <c r="G9" s="23">
        <v>48399</v>
      </c>
      <c r="H9" s="25">
        <v>3.7999999999999999E-2</v>
      </c>
      <c r="I9" s="25">
        <v>8.3000000000000004E-2</v>
      </c>
      <c r="J9" s="23">
        <f t="shared" si="0"/>
        <v>44914</v>
      </c>
      <c r="K9" s="23">
        <f t="shared" si="1"/>
        <v>3485</v>
      </c>
      <c r="L9" s="28">
        <f t="shared" si="2"/>
        <v>1707</v>
      </c>
      <c r="M9" s="28">
        <f t="shared" si="2"/>
        <v>289</v>
      </c>
      <c r="N9" s="23">
        <v>631</v>
      </c>
      <c r="O9" s="30">
        <v>0.88</v>
      </c>
      <c r="P9" s="30">
        <v>0.74</v>
      </c>
      <c r="Q9" s="29">
        <f t="shared" si="3"/>
        <v>410.90719999999999</v>
      </c>
      <c r="R9" s="21">
        <f t="shared" si="4"/>
        <v>0.28000000000000003</v>
      </c>
      <c r="S9" s="29">
        <f t="shared" si="5"/>
        <v>295.853184</v>
      </c>
      <c r="T9" s="29">
        <f t="shared" si="6"/>
        <v>115.054016</v>
      </c>
      <c r="U9" s="33">
        <v>289</v>
      </c>
      <c r="V9" s="33">
        <v>226</v>
      </c>
    </row>
    <row r="10" spans="1:22" x14ac:dyDescent="0.25">
      <c r="A10" s="23">
        <v>2015</v>
      </c>
      <c r="B10" s="23">
        <v>206</v>
      </c>
      <c r="C10" s="23">
        <v>3549</v>
      </c>
      <c r="D10" s="23">
        <v>0.9</v>
      </c>
      <c r="E10" s="23">
        <v>0.83</v>
      </c>
      <c r="F10" s="23">
        <v>0.92</v>
      </c>
      <c r="G10" s="23">
        <v>49289</v>
      </c>
      <c r="H10" s="25">
        <v>3.1E-2</v>
      </c>
      <c r="I10" s="25">
        <v>0.08</v>
      </c>
      <c r="J10" s="23">
        <f t="shared" si="0"/>
        <v>45740</v>
      </c>
      <c r="K10" s="23">
        <f t="shared" si="1"/>
        <v>3549</v>
      </c>
      <c r="L10" s="28">
        <f t="shared" si="2"/>
        <v>1418</v>
      </c>
      <c r="M10" s="28">
        <f t="shared" si="2"/>
        <v>284</v>
      </c>
      <c r="N10" s="23">
        <v>948</v>
      </c>
      <c r="O10" s="30">
        <v>0.88</v>
      </c>
      <c r="P10" s="30">
        <v>0.74</v>
      </c>
      <c r="Q10" s="29">
        <f t="shared" si="3"/>
        <v>617.33759999999995</v>
      </c>
      <c r="R10" s="21">
        <f t="shared" si="4"/>
        <v>0.28000000000000003</v>
      </c>
      <c r="S10" s="29">
        <f t="shared" si="5"/>
        <v>444.48307199999994</v>
      </c>
      <c r="T10" s="29">
        <f t="shared" si="6"/>
        <v>172.85452800000002</v>
      </c>
      <c r="U10" s="33">
        <v>435</v>
      </c>
      <c r="V10" s="33">
        <v>341</v>
      </c>
    </row>
    <row r="11" spans="1:22" x14ac:dyDescent="0.25">
      <c r="A11" s="23">
        <v>2016</v>
      </c>
      <c r="B11" s="23">
        <v>233</v>
      </c>
      <c r="C11">
        <v>3616</v>
      </c>
      <c r="G11">
        <v>50224</v>
      </c>
      <c r="H11" s="25">
        <v>2.5000000000000001E-2</v>
      </c>
      <c r="I11" s="25">
        <v>5.5999999999999994E-2</v>
      </c>
      <c r="J11" s="23">
        <f>G11-K11</f>
        <v>46608</v>
      </c>
      <c r="K11" s="23">
        <f t="shared" si="1"/>
        <v>3616</v>
      </c>
      <c r="L11" s="28">
        <f>ROUND(H11*J11,0)</f>
        <v>1165</v>
      </c>
      <c r="M11" s="28">
        <f t="shared" si="2"/>
        <v>202</v>
      </c>
      <c r="N11" s="23">
        <v>1125</v>
      </c>
      <c r="O11" s="30">
        <v>0.88</v>
      </c>
      <c r="P11" s="30">
        <v>0.74</v>
      </c>
      <c r="Q11" s="29">
        <f t="shared" si="3"/>
        <v>732.6</v>
      </c>
      <c r="R11" s="21">
        <f t="shared" si="4"/>
        <v>0.28000000000000003</v>
      </c>
      <c r="S11" s="29">
        <f t="shared" si="5"/>
        <v>527.47199999999998</v>
      </c>
      <c r="T11" s="29">
        <f t="shared" si="6"/>
        <v>205.12800000000001</v>
      </c>
    </row>
    <row r="12" spans="1:22" x14ac:dyDescent="0.25">
      <c r="A12" s="23">
        <v>2017</v>
      </c>
      <c r="B12" s="23">
        <v>194</v>
      </c>
      <c r="C12" s="23">
        <v>3680</v>
      </c>
      <c r="G12">
        <v>51114</v>
      </c>
      <c r="J12" s="23">
        <f t="shared" si="0"/>
        <v>47434</v>
      </c>
      <c r="K12" s="23">
        <f t="shared" si="1"/>
        <v>3680</v>
      </c>
      <c r="L12" s="28"/>
    </row>
    <row r="13" spans="1:22" x14ac:dyDescent="0.25">
      <c r="A13" s="23"/>
      <c r="B13" s="23"/>
      <c r="C13" s="23"/>
    </row>
    <row r="14" spans="1:22" x14ac:dyDescent="0.25">
      <c r="B14" s="23"/>
    </row>
    <row r="15" spans="1:22" x14ac:dyDescent="0.25">
      <c r="B15" s="23"/>
    </row>
    <row r="16" spans="1:22" x14ac:dyDescent="0.25">
      <c r="B16" s="23"/>
      <c r="G16" s="23"/>
    </row>
    <row r="17" spans="2:7" x14ac:dyDescent="0.25">
      <c r="B17" s="23"/>
      <c r="G17" s="23"/>
    </row>
    <row r="18" spans="2:7" x14ac:dyDescent="0.25">
      <c r="B18" s="23"/>
      <c r="G18" s="23"/>
    </row>
    <row r="19" spans="2:7" x14ac:dyDescent="0.25">
      <c r="B19" s="23"/>
      <c r="G19" s="23"/>
    </row>
    <row r="20" spans="2:7" x14ac:dyDescent="0.25">
      <c r="B20" s="23"/>
      <c r="G20" s="23"/>
    </row>
    <row r="21" spans="2:7" x14ac:dyDescent="0.25">
      <c r="B21" s="23"/>
      <c r="G21" s="23"/>
    </row>
    <row r="22" spans="2:7" x14ac:dyDescent="0.25">
      <c r="G22" s="23"/>
    </row>
    <row r="23" spans="2:7" x14ac:dyDescent="0.25">
      <c r="G23" s="23"/>
    </row>
    <row r="24" spans="2:7" x14ac:dyDescent="0.25">
      <c r="G24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pars</vt:lpstr>
      <vt:lpstr>data</vt:lpstr>
      <vt:lpstr>base</vt:lpstr>
      <vt:lpstr>intervention</vt:lpstr>
      <vt:lpstr>data old</vt:lpstr>
      <vt:lpstr>data 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2018-09-26T23:41:30Z</dcterms:modified>
</cp:coreProperties>
</file>