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om.tidhar\Documents\GitHub\STI-HIV-coinfection\"/>
    </mc:Choice>
  </mc:AlternateContent>
  <bookViews>
    <workbookView xWindow="0" yWindow="0" windowWidth="25200" windowHeight="9780"/>
  </bookViews>
  <sheets>
    <sheet name="pars" sheetId="24" r:id="rId1"/>
    <sheet name="data" sheetId="5" r:id="rId2"/>
    <sheet name="timepars" sheetId="20" r:id="rId3"/>
    <sheet name="scen_1" sheetId="25" r:id="rId4"/>
    <sheet name="scen_2" sheetId="26" r:id="rId5"/>
  </sheets>
  <calcPr calcId="162913"/>
</workbook>
</file>

<file path=xl/calcChain.xml><?xml version="1.0" encoding="utf-8"?>
<calcChain xmlns="http://schemas.openxmlformats.org/spreadsheetml/2006/main">
  <c r="E20" i="24" l="1"/>
  <c r="D20" i="24"/>
  <c r="C19" i="24"/>
  <c r="D19" i="24" s="1"/>
  <c r="E18" i="24"/>
  <c r="D18" i="24"/>
  <c r="E17" i="24"/>
  <c r="D17" i="24"/>
  <c r="E16" i="24"/>
  <c r="D16" i="24"/>
  <c r="E15" i="24"/>
  <c r="D15" i="24"/>
  <c r="E14" i="24"/>
  <c r="D14" i="24"/>
  <c r="E13" i="24"/>
  <c r="D13" i="24"/>
  <c r="C12" i="24"/>
  <c r="D12" i="24" s="1"/>
  <c r="E10" i="24"/>
  <c r="D10" i="24"/>
  <c r="E9" i="24"/>
  <c r="D9" i="24"/>
  <c r="E8" i="24"/>
  <c r="D8" i="24"/>
  <c r="E7" i="24"/>
  <c r="D7" i="24"/>
  <c r="E3" i="24"/>
  <c r="D3" i="24"/>
  <c r="J6" i="24"/>
  <c r="C2" i="24"/>
  <c r="C5" i="24" s="1"/>
  <c r="I7" i="24" l="1"/>
  <c r="J7" i="24"/>
  <c r="C6" i="24"/>
  <c r="C4" i="24"/>
  <c r="D5" i="24"/>
  <c r="E5" i="24"/>
  <c r="E19" i="24"/>
  <c r="E12" i="24"/>
  <c r="R4" i="20"/>
  <c r="S4" i="20"/>
  <c r="E4" i="24" l="1"/>
  <c r="D4" i="24"/>
  <c r="D6" i="24"/>
  <c r="E6" i="24"/>
  <c r="Q4" i="20"/>
  <c r="Q12" i="5" l="1"/>
  <c r="T12" i="5" s="1"/>
  <c r="S12" i="5" s="1"/>
  <c r="G2" i="5" l="1"/>
  <c r="H12" i="5" l="1"/>
  <c r="G3" i="5" l="1"/>
  <c r="G4" i="5" s="1"/>
  <c r="G5" i="5" s="1"/>
  <c r="G6" i="5" s="1"/>
  <c r="G7" i="5" s="1"/>
  <c r="G8" i="5" s="1"/>
  <c r="G9" i="5" s="1"/>
  <c r="G10" i="5" s="1"/>
  <c r="G11" i="5" s="1"/>
  <c r="G12" i="5" s="1"/>
  <c r="Q11" i="5" l="1"/>
  <c r="T11" i="5" l="1"/>
  <c r="S11" i="5" s="1"/>
  <c r="C2" i="5"/>
  <c r="C3" i="5" l="1"/>
  <c r="K3" i="5" s="1"/>
  <c r="J3" i="5" s="1"/>
  <c r="C5" i="5"/>
  <c r="C4" i="5"/>
  <c r="K4" i="5" s="1"/>
  <c r="J4" i="5" s="1"/>
  <c r="K5" i="5"/>
  <c r="J5" i="5" s="1"/>
  <c r="L5" i="5" s="1"/>
  <c r="K2" i="5"/>
  <c r="M2" i="5" s="1"/>
  <c r="Q3" i="5"/>
  <c r="T3" i="5" s="1"/>
  <c r="Q9" i="5"/>
  <c r="T9" i="5" s="1"/>
  <c r="Q10" i="5"/>
  <c r="T10" i="5" s="1"/>
  <c r="Q2" i="5"/>
  <c r="T2" i="5" s="1"/>
  <c r="Q8" i="5"/>
  <c r="T8" i="5" s="1"/>
  <c r="Q7" i="5"/>
  <c r="T7" i="5" s="1"/>
  <c r="Q6" i="5"/>
  <c r="T6" i="5" s="1"/>
  <c r="Q5" i="5"/>
  <c r="T5" i="5" s="1"/>
  <c r="Q4" i="5"/>
  <c r="T4" i="5" s="1"/>
  <c r="J2" i="5" l="1"/>
  <c r="L2" i="5" s="1"/>
  <c r="S4" i="5"/>
  <c r="S9" i="5"/>
  <c r="S10" i="5"/>
  <c r="S5" i="5"/>
  <c r="S8" i="5"/>
  <c r="S7" i="5"/>
  <c r="S6" i="5"/>
  <c r="S3" i="5"/>
  <c r="S2" i="5"/>
  <c r="C6" i="5"/>
  <c r="K6" i="5" s="1"/>
  <c r="M5" i="5"/>
  <c r="J6" i="5" l="1"/>
  <c r="L6" i="5" s="1"/>
  <c r="M6" i="5"/>
  <c r="C7" i="5"/>
  <c r="K7" i="5" s="1"/>
  <c r="C8" i="5" l="1"/>
  <c r="K8" i="5" s="1"/>
  <c r="M8" i="5" s="1"/>
  <c r="J7" i="5"/>
  <c r="L7" i="5" s="1"/>
  <c r="M7" i="5"/>
  <c r="J8" i="5" l="1"/>
  <c r="L8" i="5" s="1"/>
  <c r="C9" i="5"/>
  <c r="K9" i="5" s="1"/>
  <c r="C10" i="5" l="1"/>
  <c r="K10" i="5" s="1"/>
  <c r="J9" i="5"/>
  <c r="L9" i="5" s="1"/>
  <c r="M9" i="5"/>
  <c r="C11" i="5" l="1"/>
  <c r="K11" i="5" s="1"/>
  <c r="C12" i="5"/>
  <c r="K12" i="5" s="1"/>
  <c r="J10" i="5"/>
  <c r="L10" i="5" s="1"/>
  <c r="M10" i="5"/>
  <c r="J12" i="5" l="1"/>
  <c r="M12" i="5"/>
  <c r="J11" i="5"/>
  <c r="L11" i="5" s="1"/>
  <c r="M11" i="5"/>
</calcChain>
</file>

<file path=xl/comments1.xml><?xml version="1.0" encoding="utf-8"?>
<comments xmlns="http://schemas.openxmlformats.org/spreadsheetml/2006/main">
  <authors>
    <author>Tom Tidhar</author>
    <author>Michael Traeger</author>
  </authors>
  <commentList>
    <comment ref="M4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see Table 1 of "Achieving 90-90-90 Human Immunodeficiency Virus (HIV) Targets Will Not Be Enough to Achieve the HIV Incidence Reduction Target in Australia"</t>
        </r>
      </text>
    </comment>
    <comment ref="C8" authorId="1" shapeId="0">
      <text/>
    </comment>
    <comment ref="C1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I'm guessing this is from GCPS. However I would say that the proportion of "high risk" MSM on PrEP is much higher. We estimate that 30-40% of MSM eligible for PrEP in victoria (high risk) are on PrEP.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https://www.ncbi.nlm.nih.gov/pubmed/7082980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Gay community periodic survey (melbourne) 2016.
"Over a third
of men were in a seroconcordant relationship (34.9%), about two in five men were in serodiscordant
relationships (38.8%) and the remainder (26.3%) reported being in a serononconcordant relationship"
MT: This is for relationships - not sure if it's reflective of casual partner mixing?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https://www.ncbi.nlm.nih.gov/pubmed/28257898
page 556
or:
Epidemic Network Modeling for the Prediction of the Transmission of Gonorrhea in Norway
page 49
which suggests 45%
</t>
        </r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 I'd go with the 89. This comes from MSHC and is more relevant for our population. Also what I've referenced in my PrEPX paper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made up</t>
        </r>
      </text>
    </comment>
  </commentList>
</comments>
</file>

<file path=xl/comments2.xml><?xml version="1.0" encoding="utf-8"?>
<comments xmlns="http://schemas.openxmlformats.org/spreadsheetml/2006/main">
  <authors>
    <author>Tom Tidhar</author>
    <author>Michael Traeger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It is assumed that 7.2% of MSM are HIV+ (see excel formula for this column)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Mostly from Kirby reports</t>
        </r>
      </text>
    </comment>
    <comment ref="G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This may help with your estimate. 
From Kirby paper, estimated proportion of men aged 16-69 who identify as gay == 1.88%
Taken from —ASHR2—Second Australian study of Health and relationships.
https://journals.plos.org/plosone/article/comments?id=10.1371/journal.pone.0204138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https://kirby.unsw.edu.au/sites/default/files/kirby/report/SERP_Annual-Surveillance-Report-2017_compressed.pdf
page 147
note that these are national % prevalence numbers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Total MSM minus PLHIV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Same as Total PLHIV column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calculated by multiplying prevalence (%) by population size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http://www9.health.gov.au/cda/source/rpt_4.cfm
also helpful; numbers very similar
and Victorian Annual Surveillance Factsheet 2017:
https://www2.health.vic.gov.au/Api/downloadmedia/%7B27A4188D-7167-49F4-9F08-63165A44D80F%7D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"Nineteen per cent of the total cases (n=1229) were females"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"gonorrhoea cases occur predominantly among men who have sex with men
(MSM) with 82 per cent reported as MSM in 2016; this is similar to previous years"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81% of notifications are male.
82% of male are MSM.
then this column = total victoria notifications * 81% * 82%
This was used to find number of MSM notifications.
Compare with june 2017 fact sheet, which says that 78% of notifications reported as MSM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"Of the cases with enhanced surveillance data available, 10 per cent were HIV positive compared to 13 and 17 per
cent in 2016 and 2015, respectively"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https://www2.health.vic.gov.au/public-health/infectious-diseases/infectious-diseases-surveillance/search-infectious-diseases-data/HIVAIDS%20monthly%20surveillance%20report%20-%20December%202013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http://www.natap.org/2018/IAC/IAC_100.htm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https://kirby.unsw.edu.au/sites/default/files/kirby/report/SERP_National-BBV%26STI-Surveillance%26Monitoring-Report-2016_UPD170627.pdf</t>
        </r>
      </text>
    </comment>
    <comment ref="D1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Michael Traeger:
The 88% diagnosed from Kirby reports refers to all PLHIV. 
For MSM, it is higher at 91.2%.
See proportion undiagnosed in Kirby report =8.8%
https://kirby.unsw.edu.au/report/hiv-australia-annual-surveillance-short-report-2018</t>
        </r>
      </text>
    </comment>
    <comment ref="U1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Victorian Health STI surveillance report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https://www2.health.vic.gov.au/public-health/infectious-diseases/infectious-diseases-surveillance/search-infectious-diseases-data/hiv-in-victoria-surveillance-report-for-april-june-2018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From PrEPX data. Data collected from July 2016 onwards. Longitudinal study so hard to assign to a specific year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Notified cases for Victoria (as at 16 November 2018): (could be worth adding)
http://www.health.vic.gov.au/ideas/downloads/daily_reports/rptVS_SNIDSVictorianSummary_GR.pdf</t>
        </r>
      </text>
    </comment>
  </commentList>
</comments>
</file>

<file path=xl/comments3.xml><?xml version="1.0" encoding="utf-8"?>
<comments xmlns="http://schemas.openxmlformats.org/spreadsheetml/2006/main">
  <authors>
    <author>Tom Tidhar</author>
    <author>Michael Traeger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the susceptible population that is at high risk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Relative force of infection multiplier for each risk group 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Number of people on PrEP. Seemed to make more sense than proportion of people on PrEP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Effectiveness of condoms. This number doesn't actually matter because it gets absorbed into the force of infection. But its needed for a gel condom analysis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Condom usage between risk groups. Might be set this to zero then absorb any relative risk into the relative_foi parameter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HIV tests (in years)</t>
        </r>
      </text>
    </comment>
    <comment ref="T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Care cascade data</t>
        </r>
      </text>
    </comment>
    <comment ref="W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Effectiveness of each care stage in reducing infectiousness. The number of people in each infected compartment are multiplied by these values to get an overall relative proportion positive</t>
        </r>
      </text>
    </comment>
    <comment ref="Z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This is the time (in years) in each undiagnosed group before people move on to the next one (if they don't get diagnosed). i.e. people spend 1 year in the "&lt;1 year since infection" group, then 2 years in the "1-3 years since infection" group, then stay in the "3+ years since infection" group until they get diagnosed</t>
        </r>
      </text>
    </comment>
    <comment ref="AB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Proportions of people changing to gel condoms. From the geldom analysis. Can just leave at 0.</t>
        </r>
      </text>
    </comment>
    <comment ref="K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within 1 year of infection</t>
        </r>
      </text>
    </comment>
    <comment ref="L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infected 1-3 years ago</t>
        </r>
      </text>
    </comment>
    <comment ref="M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infected over 3 years ago</t>
        </r>
      </text>
    </comment>
    <comment ref="T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PLHIV who are diagnosed.
This is not a parameter, but it could be used for calibration</t>
        </r>
      </text>
    </comment>
    <comment ref="U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diagnosed PLHIV who are on treatment</t>
        </r>
      </text>
    </comment>
    <comment ref="V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PLHIV on treatment who are virally suppressed</t>
        </r>
      </text>
    </comment>
    <comment ref="E4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i.e. PrEP is 97% effective</t>
        </r>
      </text>
    </comment>
    <comment ref="T16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http://www.natap.org/2018/IAC/IAC_100.htm</t>
        </r>
      </text>
    </comment>
    <comment ref="T17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https://kirby.unsw.edu.au/sites/default/files/kirby/report/SERP_National-BBV%26STI-Surveillance%26Monitoring-Report-2016_UPD170627.pdf</t>
        </r>
      </text>
    </comment>
    <comment ref="T20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Michael Traeger:
The 88% diagnosed from Kirby reports refers to all PLHIV. 
For MSM, it is higher at 91.2%.
See proportion undiagnosed in Kirby report =8.8%
https://kirby.unsw.edu.au/report/hiv-australia-annual-surveillance-short-report-2018</t>
        </r>
      </text>
    </comment>
  </commentList>
</comments>
</file>

<file path=xl/comments4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HIV tests (in years)</t>
        </r>
      </text>
    </comment>
    <comment ref="B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within 1 year of infection</t>
        </r>
      </text>
    </comment>
    <comment ref="C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infected 1-3 years ago</t>
        </r>
      </text>
    </comment>
    <comment ref="D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infected over 3 years ago</t>
        </r>
      </text>
    </comment>
  </commentList>
</comments>
</file>

<file path=xl/sharedStrings.xml><?xml version="1.0" encoding="utf-8"?>
<sst xmlns="http://schemas.openxmlformats.org/spreadsheetml/2006/main" count="188" uniqueCount="106">
  <si>
    <t>Waiting list</t>
  </si>
  <si>
    <t>Best estimate</t>
  </si>
  <si>
    <t>Lower bound</t>
  </si>
  <si>
    <t>Upper bound</t>
  </si>
  <si>
    <t>Reference</t>
  </si>
  <si>
    <t>Comments</t>
  </si>
  <si>
    <t>5 in a year may be normal</t>
  </si>
  <si>
    <t>Dialysis costs ($)</t>
  </si>
  <si>
    <t>mean of 55; range 4-70</t>
  </si>
  <si>
    <t>5% probability per year converted to rate</t>
  </si>
  <si>
    <t>160 days</t>
  </si>
  <si>
    <t>dt</t>
  </si>
  <si>
    <t>mu</t>
  </si>
  <si>
    <t>extra_death_I</t>
  </si>
  <si>
    <t>extra_death_D</t>
  </si>
  <si>
    <t>Time step size</t>
  </si>
  <si>
    <t>growth</t>
  </si>
  <si>
    <t>All-cause mortality rate</t>
  </si>
  <si>
    <t>Additional mortality when infected</t>
  </si>
  <si>
    <t>Additional mortality when diagnosed</t>
  </si>
  <si>
    <t>gamma</t>
  </si>
  <si>
    <t>Increased risk factor for high-risk MSM</t>
  </si>
  <si>
    <t>rho</t>
  </si>
  <si>
    <t>Proportion of MSM at high risk</t>
  </si>
  <si>
    <t>Year</t>
  </si>
  <si>
    <t>Total PLHIV</t>
  </si>
  <si>
    <t>New diagnoses</t>
  </si>
  <si>
    <t>eff_condom</t>
  </si>
  <si>
    <t>Total MSM</t>
  </si>
  <si>
    <t>prop_prep_base</t>
  </si>
  <si>
    <t>Uncertainty</t>
  </si>
  <si>
    <t>mix1</t>
  </si>
  <si>
    <t>mix2</t>
  </si>
  <si>
    <t>mix3</t>
  </si>
  <si>
    <t>Mixing in HIV-, no prep</t>
  </si>
  <si>
    <t>Mixing in HIV-, prep</t>
  </si>
  <si>
    <t>Mixing in HIV+</t>
  </si>
  <si>
    <t>%male</t>
  </si>
  <si>
    <t>%of male MSM</t>
  </si>
  <si>
    <t>t_exp_sti</t>
  </si>
  <si>
    <t>t_treatment_sti</t>
  </si>
  <si>
    <t>symp</t>
  </si>
  <si>
    <t>lambda</t>
  </si>
  <si>
    <t xml:space="preserve"> Median time from exposure to infection (days)</t>
  </si>
  <si>
    <t>Median time for treatment (days)</t>
  </si>
  <si>
    <t>Relative treatment rate of asymptomatic MSM</t>
  </si>
  <si>
    <t>Proportion of high risk population on PrEP</t>
  </si>
  <si>
    <t>legend</t>
  </si>
  <si>
    <t>made up</t>
  </si>
  <si>
    <t>data</t>
  </si>
  <si>
    <t>model</t>
  </si>
  <si>
    <t>MSM population growth rate (per month)</t>
  </si>
  <si>
    <t>Nick's data</t>
  </si>
  <si>
    <t>Proportion of gonorrhoea+ who are symptomatic</t>
  </si>
  <si>
    <t>% of gon. notifications which were HIV+</t>
  </si>
  <si>
    <t>Proportion of Victorian Gon. Notifications attributable to PrEP users</t>
  </si>
  <si>
    <t>Gon prev: HIV+</t>
  </si>
  <si>
    <t>Total HIV-</t>
  </si>
  <si>
    <t>Total HIV+</t>
  </si>
  <si>
    <t>Total Gon+ HIV-</t>
  </si>
  <si>
    <t>Total Gon+ HIV+</t>
  </si>
  <si>
    <t>Total Gon cases</t>
  </si>
  <si>
    <t>All victoria Gon cases</t>
  </si>
  <si>
    <t>Total Gon cases HIV-</t>
  </si>
  <si>
    <t>Total Gon cases HIV+</t>
  </si>
  <si>
    <t>Prop HIV diagnosed</t>
  </si>
  <si>
    <t>Prop HIV on treatment</t>
  </si>
  <si>
    <t>Prop HIV virally suppressed</t>
  </si>
  <si>
    <t>Gon prev: HIV- all</t>
  </si>
  <si>
    <t>prop_treat</t>
  </si>
  <si>
    <t>Proportion of people who get gonorrhoea treated immediately</t>
  </si>
  <si>
    <t>lube_threshold</t>
  </si>
  <si>
    <t>Maximal proportion of people using gel</t>
  </si>
  <si>
    <t>Effectiveness of gel condoms for gonorrhoea</t>
  </si>
  <si>
    <t>Effectiveness of gel condoms for HIV</t>
  </si>
  <si>
    <t>eff_gel_gon</t>
  </si>
  <si>
    <t>eff_gel_HIV</t>
  </si>
  <si>
    <t>Check</t>
  </si>
  <si>
    <t>t_testing</t>
  </si>
  <si>
    <t>HIV_low_risk</t>
  </si>
  <si>
    <t>HIV_high_risk</t>
  </si>
  <si>
    <t>HIV_prep</t>
  </si>
  <si>
    <t>new_infection</t>
  </si>
  <si>
    <t>old_infection</t>
  </si>
  <si>
    <t>mid_infection</t>
  </si>
  <si>
    <t>condom_usage</t>
  </si>
  <si>
    <t>gel_up</t>
  </si>
  <si>
    <t>gel_down</t>
  </si>
  <si>
    <t>care_cascade</t>
  </si>
  <si>
    <t>diagnosed</t>
  </si>
  <si>
    <t>diagnosed_treated</t>
  </si>
  <si>
    <t>treated_virally_suppressed</t>
  </si>
  <si>
    <t>treatment_eff</t>
  </si>
  <si>
    <t>par</t>
  </si>
  <si>
    <t>pop</t>
  </si>
  <si>
    <t>subpop</t>
  </si>
  <si>
    <t>population_year</t>
  </si>
  <si>
    <t>population_value</t>
  </si>
  <si>
    <t>Year of population size estimate</t>
  </si>
  <si>
    <t>Population size estimate</t>
  </si>
  <si>
    <t>new_to_mid</t>
  </si>
  <si>
    <t>mid_to_old</t>
  </si>
  <si>
    <t>test_wait</t>
  </si>
  <si>
    <t>relative_foi</t>
  </si>
  <si>
    <t>num_prep</t>
  </si>
  <si>
    <t>prop_high_risk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</si>
</sst>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"/>
    <numFmt numFmtId="166" formatCode="0.00000"/>
    <numFmt numFmtId="167" formatCode="0.0%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sz val="10"/>
      <name val="Times New Roman"/>
      <family val="1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14" fillId="5" borderId="0" applyNumberFormat="0" applyFont="0" applyBorder="0" applyAlignment="0" applyProtection="0"/>
    <xf numFmtId="0" fontId="15" fillId="4" borderId="0" applyNumberFormat="0" applyFont="0" applyBorder="0" applyAlignment="0" applyProtection="0"/>
    <xf numFmtId="0" fontId="16" fillId="2" borderId="0" applyNumberFormat="0" applyFont="0" applyBorder="0" applyAlignment="0" applyProtection="0"/>
  </cellStyleXfs>
  <cellXfs count="105">
    <xf numFmtId="0" fontId="0" fillId="0" borderId="0" xfId="0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/>
    <xf numFmtId="0" fontId="2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right" wrapText="1"/>
    </xf>
    <xf numFmtId="0" fontId="0" fillId="0" borderId="0" xfId="0" applyAlignment="1">
      <alignment horizontal="right" wrapText="1"/>
    </xf>
    <xf numFmtId="9" fontId="0" fillId="0" borderId="0" xfId="13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0" fontId="7" fillId="0" borderId="0" xfId="0" applyFont="1"/>
    <xf numFmtId="1" fontId="8" fillId="0" borderId="0" xfId="0" applyNumberFormat="1" applyFont="1" applyAlignment="1">
      <alignment horizontal="right"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1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1" fontId="8" fillId="0" borderId="0" xfId="0" applyNumberFormat="1" applyFont="1" applyFill="1" applyAlignment="1">
      <alignment horizontal="right" vertical="center"/>
    </xf>
    <xf numFmtId="0" fontId="0" fillId="0" borderId="0" xfId="0" applyFill="1"/>
    <xf numFmtId="0" fontId="0" fillId="0" borderId="4" xfId="0" applyFill="1" applyBorder="1"/>
    <xf numFmtId="164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5" fontId="0" fillId="0" borderId="0" xfId="0" applyNumberFormat="1" applyFill="1"/>
    <xf numFmtId="0" fontId="0" fillId="3" borderId="0" xfId="0" applyFill="1"/>
    <xf numFmtId="2" fontId="0" fillId="4" borderId="1" xfId="0" applyNumberFormat="1" applyFill="1" applyBorder="1"/>
    <xf numFmtId="0" fontId="0" fillId="0" borderId="0" xfId="0" applyFill="1" applyAlignment="1">
      <alignment horizontal="right" wrapText="1"/>
    </xf>
    <xf numFmtId="0" fontId="3" fillId="0" borderId="0" xfId="0" applyFont="1" applyFill="1" applyAlignment="1">
      <alignment wrapText="1"/>
    </xf>
    <xf numFmtId="0" fontId="0" fillId="4" borderId="1" xfId="0" applyFill="1" applyBorder="1"/>
    <xf numFmtId="165" fontId="0" fillId="3" borderId="1" xfId="0" applyNumberFormat="1" applyFill="1" applyBorder="1"/>
    <xf numFmtId="0" fontId="8" fillId="4" borderId="0" xfId="0" applyFont="1" applyFill="1" applyAlignment="1">
      <alignment horizontal="right" vertical="center"/>
    </xf>
    <xf numFmtId="2" fontId="8" fillId="2" borderId="0" xfId="0" applyNumberFormat="1" applyFont="1" applyFill="1" applyAlignment="1">
      <alignment horizontal="right" vertical="center"/>
    </xf>
    <xf numFmtId="1" fontId="8" fillId="4" borderId="0" xfId="0" applyNumberFormat="1" applyFont="1" applyFill="1" applyAlignment="1">
      <alignment horizontal="right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8" fillId="2" borderId="0" xfId="0" applyNumberFormat="1" applyFont="1" applyFill="1" applyAlignment="1">
      <alignment horizontal="right" vertical="center"/>
    </xf>
    <xf numFmtId="1" fontId="11" fillId="4" borderId="0" xfId="0" applyNumberFormat="1" applyFont="1" applyFill="1" applyAlignment="1">
      <alignment horizontal="right" vertical="center"/>
    </xf>
    <xf numFmtId="9" fontId="0" fillId="4" borderId="0" xfId="13" applyFont="1" applyFill="1"/>
    <xf numFmtId="9" fontId="0" fillId="2" borderId="0" xfId="13" applyFont="1" applyFill="1"/>
    <xf numFmtId="1" fontId="13" fillId="4" borderId="0" xfId="0" applyNumberFormat="1" applyFont="1" applyFill="1"/>
    <xf numFmtId="9" fontId="8" fillId="4" borderId="0" xfId="13" applyFont="1" applyFill="1" applyAlignment="1">
      <alignment horizontal="right" vertical="center"/>
    </xf>
    <xf numFmtId="1" fontId="0" fillId="4" borderId="0" xfId="0" applyNumberFormat="1" applyFill="1"/>
    <xf numFmtId="166" fontId="0" fillId="0" borderId="1" xfId="0" applyNumberFormat="1" applyFill="1" applyBorder="1"/>
    <xf numFmtId="2" fontId="8" fillId="4" borderId="0" xfId="0" applyNumberFormat="1" applyFont="1" applyFill="1" applyAlignment="1">
      <alignment horizontal="right" vertical="center"/>
    </xf>
    <xf numFmtId="167" fontId="8" fillId="4" borderId="0" xfId="13" applyNumberFormat="1" applyFont="1" applyFill="1" applyAlignment="1">
      <alignment horizontal="right" vertical="center"/>
    </xf>
    <xf numFmtId="164" fontId="0" fillId="4" borderId="1" xfId="0" applyNumberFormat="1" applyFill="1" applyBorder="1"/>
    <xf numFmtId="0" fontId="11" fillId="6" borderId="0" xfId="0" applyFont="1" applyFill="1" applyAlignment="1">
      <alignment vertical="center"/>
    </xf>
    <xf numFmtId="9" fontId="0" fillId="6" borderId="0" xfId="0" applyNumberFormat="1" applyFill="1"/>
    <xf numFmtId="0" fontId="0" fillId="0" borderId="0" xfId="0"/>
    <xf numFmtId="0" fontId="0" fillId="0" borderId="1" xfId="0" applyBorder="1"/>
    <xf numFmtId="0" fontId="0" fillId="5" borderId="1" xfId="14" applyFont="1" applyBorder="1"/>
    <xf numFmtId="0" fontId="0" fillId="5" borderId="1" xfId="14" applyNumberFormat="1" applyFont="1" applyBorder="1"/>
    <xf numFmtId="164" fontId="0" fillId="5" borderId="1" xfId="14" applyNumberFormat="1" applyFont="1" applyBorder="1"/>
    <xf numFmtId="0" fontId="0" fillId="5" borderId="0" xfId="14" applyFont="1"/>
    <xf numFmtId="0" fontId="0" fillId="4" borderId="1" xfId="15" applyFont="1" applyBorder="1"/>
    <xf numFmtId="0" fontId="0" fillId="4" borderId="0" xfId="15" applyFont="1"/>
    <xf numFmtId="2" fontId="0" fillId="4" borderId="1" xfId="15" applyNumberFormat="1" applyFont="1" applyBorder="1"/>
    <xf numFmtId="0" fontId="0" fillId="2" borderId="0" xfId="16" applyFont="1"/>
    <xf numFmtId="2" fontId="0" fillId="2" borderId="1" xfId="16" applyNumberFormat="1" applyFont="1" applyBorder="1"/>
    <xf numFmtId="0" fontId="0" fillId="2" borderId="1" xfId="16" applyFont="1" applyBorder="1"/>
    <xf numFmtId="0" fontId="0" fillId="2" borderId="1" xfId="16" applyNumberFormat="1" applyFont="1" applyBorder="1"/>
    <xf numFmtId="2" fontId="3" fillId="0" borderId="0" xfId="0" applyNumberFormat="1" applyFont="1" applyAlignment="1">
      <alignment wrapText="1"/>
    </xf>
    <xf numFmtId="2" fontId="0" fillId="6" borderId="1" xfId="0" applyNumberFormat="1" applyFill="1" applyBorder="1"/>
    <xf numFmtId="0" fontId="0" fillId="6" borderId="0" xfId="0" applyFill="1"/>
    <xf numFmtId="2" fontId="0" fillId="0" borderId="0" xfId="0" applyNumberFormat="1"/>
    <xf numFmtId="0" fontId="0" fillId="0" borderId="0" xfId="0" applyBorder="1"/>
    <xf numFmtId="0" fontId="0" fillId="0" borderId="3" xfId="0" applyBorder="1"/>
    <xf numFmtId="2" fontId="0" fillId="0" borderId="8" xfId="0" applyNumberFormat="1" applyBorder="1"/>
    <xf numFmtId="0" fontId="0" fillId="0" borderId="9" xfId="0" applyBorder="1"/>
    <xf numFmtId="2" fontId="0" fillId="0" borderId="9" xfId="0" applyNumberFormat="1" applyBorder="1"/>
    <xf numFmtId="2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2" fontId="0" fillId="7" borderId="10" xfId="0" applyNumberFormat="1" applyFill="1" applyBorder="1"/>
    <xf numFmtId="2" fontId="0" fillId="7" borderId="11" xfId="0" applyNumberFormat="1" applyFill="1" applyBorder="1"/>
    <xf numFmtId="2" fontId="0" fillId="7" borderId="12" xfId="0" applyNumberFormat="1" applyFill="1" applyBorder="1"/>
    <xf numFmtId="2" fontId="0" fillId="7" borderId="13" xfId="0" applyNumberFormat="1" applyFill="1" applyBorder="1"/>
    <xf numFmtId="2" fontId="0" fillId="7" borderId="14" xfId="0" applyNumberFormat="1" applyFill="1" applyBorder="1"/>
    <xf numFmtId="2" fontId="0" fillId="7" borderId="15" xfId="0" applyNumberFormat="1" applyFill="1" applyBorder="1"/>
    <xf numFmtId="2" fontId="0" fillId="7" borderId="16" xfId="0" applyNumberFormat="1" applyFill="1" applyBorder="1"/>
    <xf numFmtId="2" fontId="0" fillId="7" borderId="17" xfId="0" applyNumberFormat="1" applyFill="1" applyBorder="1"/>
    <xf numFmtId="2" fontId="0" fillId="7" borderId="18" xfId="0" applyNumberFormat="1" applyFill="1" applyBorder="1"/>
  </cellXfs>
  <cellStyles count="17">
    <cellStyle name="Bad" xfId="15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Good" xfId="14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eutral" xfId="16" builtinId="28" customBuiltin="1"/>
    <cellStyle name="Normal" xfId="0" builtinId="0"/>
    <cellStyle name="Percent" xfId="1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0"/>
  <sheetViews>
    <sheetView tabSelected="1" zoomScale="85" zoomScaleNormal="85" workbookViewId="0">
      <selection activeCell="E5" sqref="E5"/>
    </sheetView>
  </sheetViews>
  <sheetFormatPr defaultColWidth="8.85546875" defaultRowHeight="15" x14ac:dyDescent="0.25"/>
  <cols>
    <col min="1" max="1" width="49.28515625" style="8" bestFit="1" customWidth="1"/>
    <col min="2" max="2" width="17.85546875" style="6" bestFit="1" customWidth="1"/>
    <col min="3" max="3" width="12.5703125" style="53" bestFit="1" customWidth="1"/>
    <col min="4" max="4" width="11.42578125" style="52" customWidth="1"/>
    <col min="5" max="5" width="11.42578125" style="4" customWidth="1"/>
    <col min="6" max="6" width="11.42578125" style="52" customWidth="1"/>
    <col min="7" max="7" width="28.7109375" style="52" customWidth="1"/>
    <col min="8" max="8" width="8.85546875" style="52"/>
    <col min="9" max="9" width="11.5703125" style="52" bestFit="1" customWidth="1"/>
    <col min="10" max="11" width="8.85546875" style="52"/>
    <col min="12" max="12" width="10.85546875" style="52" customWidth="1"/>
    <col min="13" max="13" width="10.42578125" style="52" bestFit="1" customWidth="1"/>
    <col min="14" max="16384" width="8.85546875" style="52"/>
  </cols>
  <sheetData>
    <row r="1" spans="1:13" s="1" customFormat="1" ht="30" x14ac:dyDescent="0.25">
      <c r="A1" s="7" t="s">
        <v>0</v>
      </c>
      <c r="B1" s="5"/>
      <c r="C1" s="2" t="s">
        <v>1</v>
      </c>
      <c r="D1" s="1" t="s">
        <v>2</v>
      </c>
      <c r="E1" s="3" t="s">
        <v>3</v>
      </c>
      <c r="F1" s="1" t="s">
        <v>4</v>
      </c>
      <c r="G1" s="1" t="s">
        <v>5</v>
      </c>
      <c r="I1" s="1" t="s">
        <v>30</v>
      </c>
      <c r="L1" s="1" t="s">
        <v>47</v>
      </c>
    </row>
    <row r="2" spans="1:13" x14ac:dyDescent="0.25">
      <c r="A2" s="8" t="s">
        <v>15</v>
      </c>
      <c r="B2" s="6" t="s">
        <v>11</v>
      </c>
      <c r="C2" s="32">
        <f>1/12</f>
        <v>8.3333333333333329E-2</v>
      </c>
      <c r="D2" s="21"/>
      <c r="E2" s="22"/>
      <c r="I2" s="9">
        <v>0.05</v>
      </c>
      <c r="L2" s="59"/>
      <c r="M2" s="52" t="s">
        <v>48</v>
      </c>
    </row>
    <row r="3" spans="1:13" x14ac:dyDescent="0.25">
      <c r="A3" s="8" t="s">
        <v>51</v>
      </c>
      <c r="B3" s="6" t="s">
        <v>16</v>
      </c>
      <c r="C3" s="49">
        <v>4.0741237836483535E-3</v>
      </c>
      <c r="D3" s="23">
        <f t="shared" ref="D3:D8" si="0">C3-$I$2*C3</f>
        <v>3.8704175944659358E-3</v>
      </c>
      <c r="E3" s="23">
        <f t="shared" ref="E3:E8" si="1">C3+$I$2*C3</f>
        <v>4.2778299728307712E-3</v>
      </c>
      <c r="G3" s="52" t="s">
        <v>8</v>
      </c>
      <c r="L3" s="61"/>
      <c r="M3" s="52" t="s">
        <v>49</v>
      </c>
    </row>
    <row r="4" spans="1:13" x14ac:dyDescent="0.25">
      <c r="A4" s="8" t="s">
        <v>17</v>
      </c>
      <c r="B4" s="6" t="s">
        <v>12</v>
      </c>
      <c r="C4" s="56">
        <f>0.001*12*C2</f>
        <v>1E-3</v>
      </c>
      <c r="D4" s="24">
        <f t="shared" si="0"/>
        <v>9.5E-4</v>
      </c>
      <c r="E4" s="21">
        <f t="shared" si="1"/>
        <v>1.0499999999999999E-3</v>
      </c>
      <c r="L4" s="57"/>
      <c r="M4" s="52" t="s">
        <v>52</v>
      </c>
    </row>
    <row r="5" spans="1:13" x14ac:dyDescent="0.25">
      <c r="A5" s="8" t="s">
        <v>18</v>
      </c>
      <c r="B5" s="6" t="s">
        <v>13</v>
      </c>
      <c r="C5" s="54">
        <f>0.001*12*C2</f>
        <v>1E-3</v>
      </c>
      <c r="D5" s="21">
        <f t="shared" si="0"/>
        <v>9.5E-4</v>
      </c>
      <c r="E5" s="21">
        <f t="shared" si="1"/>
        <v>1.0499999999999999E-3</v>
      </c>
      <c r="L5" s="27"/>
      <c r="M5" s="52" t="s">
        <v>50</v>
      </c>
    </row>
    <row r="6" spans="1:13" x14ac:dyDescent="0.25">
      <c r="A6" s="8" t="s">
        <v>19</v>
      </c>
      <c r="B6" s="6" t="s">
        <v>14</v>
      </c>
      <c r="C6" s="55">
        <f>0.001*12*C2</f>
        <v>1E-3</v>
      </c>
      <c r="D6" s="21">
        <f t="shared" si="0"/>
        <v>9.5E-4</v>
      </c>
      <c r="E6" s="21">
        <f t="shared" si="1"/>
        <v>1.0499999999999999E-3</v>
      </c>
      <c r="G6" s="52" t="s">
        <v>9</v>
      </c>
      <c r="J6" s="52">
        <f>(1+C3)^(12*(2040-2007))</f>
        <v>5.0031885420339695</v>
      </c>
      <c r="L6" s="67"/>
      <c r="M6" s="52" t="s">
        <v>77</v>
      </c>
    </row>
    <row r="7" spans="1:13" ht="18.75" customHeight="1" x14ac:dyDescent="0.25">
      <c r="A7" s="29" t="s">
        <v>21</v>
      </c>
      <c r="B7" s="30" t="s">
        <v>20</v>
      </c>
      <c r="C7" s="28">
        <v>7.5</v>
      </c>
      <c r="D7" s="25">
        <f t="shared" si="0"/>
        <v>7.125</v>
      </c>
      <c r="E7" s="25">
        <f t="shared" si="1"/>
        <v>7.875</v>
      </c>
      <c r="G7" s="52" t="s">
        <v>6</v>
      </c>
      <c r="I7" s="46">
        <f>((data!G12/data!G2) ^ (C2/((data!A12-data!A2))) - 1)</f>
        <v>4.0741237836483535E-3</v>
      </c>
      <c r="J7" s="52">
        <f>(data!G7-data!G2)/(data!A7-data!A2)/data!G2*C2</f>
        <v>4.6046927083333387E-3</v>
      </c>
    </row>
    <row r="8" spans="1:13" ht="18.75" customHeight="1" x14ac:dyDescent="0.25">
      <c r="A8" s="29" t="s">
        <v>23</v>
      </c>
      <c r="B8" s="30" t="s">
        <v>22</v>
      </c>
      <c r="C8" s="28">
        <v>0.13</v>
      </c>
      <c r="D8" s="23">
        <f t="shared" si="0"/>
        <v>0.1235</v>
      </c>
      <c r="E8" s="23">
        <f t="shared" si="1"/>
        <v>0.13650000000000001</v>
      </c>
    </row>
    <row r="9" spans="1:13" ht="17.25" customHeight="1" x14ac:dyDescent="0.25">
      <c r="A9" s="8" t="s">
        <v>73</v>
      </c>
      <c r="B9" s="6" t="s">
        <v>76</v>
      </c>
      <c r="C9" s="28">
        <v>0.4</v>
      </c>
      <c r="D9" s="25">
        <f t="shared" ref="D9:D10" si="2">C9-$I$2*C9</f>
        <v>0.38</v>
      </c>
      <c r="E9" s="25">
        <f t="shared" ref="E9:E10" si="3">C9+$I$2*C9</f>
        <v>0.42000000000000004</v>
      </c>
    </row>
    <row r="10" spans="1:13" ht="17.25" customHeight="1" x14ac:dyDescent="0.25">
      <c r="A10" s="8" t="s">
        <v>74</v>
      </c>
      <c r="B10" s="6" t="s">
        <v>75</v>
      </c>
      <c r="C10" s="28">
        <v>0.4</v>
      </c>
      <c r="D10" s="25">
        <f t="shared" si="2"/>
        <v>0.38</v>
      </c>
      <c r="E10" s="25">
        <f t="shared" si="3"/>
        <v>0.42000000000000004</v>
      </c>
    </row>
    <row r="11" spans="1:13" x14ac:dyDescent="0.25">
      <c r="A11" s="8" t="s">
        <v>46</v>
      </c>
      <c r="B11" s="6" t="s">
        <v>29</v>
      </c>
      <c r="C11" s="66">
        <v>0</v>
      </c>
      <c r="D11" s="25"/>
      <c r="E11" s="25"/>
      <c r="G11" s="52" t="s">
        <v>7</v>
      </c>
    </row>
    <row r="12" spans="1:13" x14ac:dyDescent="0.25">
      <c r="A12" s="8" t="s">
        <v>43</v>
      </c>
      <c r="B12" s="6" t="s">
        <v>39</v>
      </c>
      <c r="C12" s="62">
        <f>6.2</f>
        <v>6.2</v>
      </c>
      <c r="D12" s="25">
        <f t="shared" ref="D12:D20" si="4">C12-$I$2*C12</f>
        <v>5.8900000000000006</v>
      </c>
      <c r="E12" s="25">
        <f t="shared" ref="E12:E20" si="5">C12+$I$2*C12</f>
        <v>6.51</v>
      </c>
      <c r="G12" s="52" t="s">
        <v>10</v>
      </c>
    </row>
    <row r="13" spans="1:13" x14ac:dyDescent="0.25">
      <c r="A13" s="8" t="s">
        <v>44</v>
      </c>
      <c r="B13" s="6" t="s">
        <v>40</v>
      </c>
      <c r="C13" s="28">
        <v>7</v>
      </c>
      <c r="D13" s="25">
        <f t="shared" si="4"/>
        <v>6.65</v>
      </c>
      <c r="E13" s="25">
        <f t="shared" si="5"/>
        <v>7.35</v>
      </c>
    </row>
    <row r="14" spans="1:13" x14ac:dyDescent="0.25">
      <c r="A14" s="8" t="s">
        <v>34</v>
      </c>
      <c r="B14" s="6" t="s">
        <v>31</v>
      </c>
      <c r="C14" s="54">
        <v>0.1</v>
      </c>
      <c r="D14" s="26">
        <f t="shared" si="4"/>
        <v>9.5000000000000001E-2</v>
      </c>
      <c r="E14" s="26">
        <f t="shared" si="5"/>
        <v>0.10500000000000001</v>
      </c>
    </row>
    <row r="15" spans="1:13" x14ac:dyDescent="0.25">
      <c r="A15" s="8" t="s">
        <v>35</v>
      </c>
      <c r="B15" s="6" t="s">
        <v>32</v>
      </c>
      <c r="C15" s="54">
        <v>0.17</v>
      </c>
      <c r="D15" s="26">
        <f t="shared" si="4"/>
        <v>0.1615</v>
      </c>
      <c r="E15" s="26">
        <f t="shared" si="5"/>
        <v>0.17850000000000002</v>
      </c>
    </row>
    <row r="16" spans="1:13" x14ac:dyDescent="0.25">
      <c r="A16" s="8" t="s">
        <v>36</v>
      </c>
      <c r="B16" s="6" t="s">
        <v>33</v>
      </c>
      <c r="C16" s="63">
        <v>0.38800000000000001</v>
      </c>
      <c r="D16" s="26">
        <f t="shared" si="4"/>
        <v>0.36860000000000004</v>
      </c>
      <c r="E16" s="26">
        <f t="shared" si="5"/>
        <v>0.40739999999999998</v>
      </c>
    </row>
    <row r="17" spans="1:5" x14ac:dyDescent="0.25">
      <c r="A17" s="8" t="s">
        <v>53</v>
      </c>
      <c r="B17" s="6" t="s">
        <v>41</v>
      </c>
      <c r="C17" s="64">
        <v>0.45</v>
      </c>
      <c r="D17" s="25">
        <f t="shared" si="4"/>
        <v>0.42749999999999999</v>
      </c>
      <c r="E17" s="25">
        <f t="shared" si="5"/>
        <v>0.47250000000000003</v>
      </c>
    </row>
    <row r="18" spans="1:5" x14ac:dyDescent="0.25">
      <c r="A18" s="8" t="s">
        <v>45</v>
      </c>
      <c r="B18" s="6" t="s">
        <v>42</v>
      </c>
      <c r="C18" s="31">
        <v>1</v>
      </c>
      <c r="D18" s="25">
        <f t="shared" si="4"/>
        <v>0.95</v>
      </c>
      <c r="E18" s="25">
        <f t="shared" si="5"/>
        <v>1.05</v>
      </c>
    </row>
    <row r="19" spans="1:5" ht="30" x14ac:dyDescent="0.25">
      <c r="A19" s="8" t="s">
        <v>70</v>
      </c>
      <c r="B19" s="6" t="s">
        <v>69</v>
      </c>
      <c r="C19" s="60">
        <f>1-C17</f>
        <v>0.55000000000000004</v>
      </c>
      <c r="D19" s="25">
        <f t="shared" si="4"/>
        <v>0.52250000000000008</v>
      </c>
      <c r="E19" s="25">
        <f t="shared" si="5"/>
        <v>0.57750000000000001</v>
      </c>
    </row>
    <row r="20" spans="1:5" x14ac:dyDescent="0.25">
      <c r="A20" s="8" t="s">
        <v>72</v>
      </c>
      <c r="B20" s="6" t="s">
        <v>71</v>
      </c>
      <c r="C20" s="58">
        <v>0.5</v>
      </c>
      <c r="D20" s="25">
        <f t="shared" si="4"/>
        <v>0.47499999999999998</v>
      </c>
      <c r="E20" s="25">
        <f t="shared" si="5"/>
        <v>0.52500000000000002</v>
      </c>
    </row>
    <row r="21" spans="1:5" x14ac:dyDescent="0.25">
      <c r="A21" s="8" t="s">
        <v>98</v>
      </c>
      <c r="B21" s="8" t="s">
        <v>96</v>
      </c>
      <c r="C21" s="53">
        <v>2007</v>
      </c>
    </row>
    <row r="22" spans="1:5" x14ac:dyDescent="0.25">
      <c r="A22" s="8" t="s">
        <v>99</v>
      </c>
      <c r="B22" s="8" t="s">
        <v>97</v>
      </c>
      <c r="C22" s="53">
        <v>42714</v>
      </c>
    </row>
    <row r="30" spans="1:5" x14ac:dyDescent="0.25">
      <c r="B30" s="65"/>
    </row>
  </sheetData>
  <pageMargins left="0.7" right="0.7" top="0.75" bottom="0.75" header="0.3" footer="0.3"/>
  <pageSetup paperSize="12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4"/>
  <sheetViews>
    <sheetView zoomScaleNormal="100" workbookViewId="0">
      <pane xSplit="1" topLeftCell="B1" activePane="topRight" state="frozen"/>
      <selection pane="topRight" activeCell="D5" sqref="D5"/>
    </sheetView>
  </sheetViews>
  <sheetFormatPr defaultColWidth="8.85546875" defaultRowHeight="15" x14ac:dyDescent="0.25"/>
  <cols>
    <col min="1" max="1" width="5" style="19" bestFit="1" customWidth="1"/>
    <col min="2" max="2" width="14.5703125" bestFit="1" customWidth="1"/>
    <col min="3" max="3" width="11" bestFit="1" customWidth="1"/>
    <col min="4" max="4" width="14.85546875" bestFit="1" customWidth="1"/>
    <col min="5" max="5" width="17.5703125" bestFit="1" customWidth="1"/>
    <col min="6" max="6" width="22" bestFit="1" customWidth="1"/>
    <col min="7" max="7" width="10.28515625" bestFit="1" customWidth="1"/>
    <col min="8" max="8" width="17.28515625" customWidth="1"/>
    <col min="9" max="9" width="14.28515625" bestFit="1" customWidth="1"/>
    <col min="10" max="10" width="9.7109375" bestFit="1" customWidth="1"/>
    <col min="11" max="11" width="10" bestFit="1" customWidth="1"/>
    <col min="12" max="12" width="14.85546875" bestFit="1" customWidth="1"/>
    <col min="13" max="13" width="15.140625" bestFit="1" customWidth="1"/>
    <col min="14" max="14" width="19.85546875" bestFit="1" customWidth="1"/>
    <col min="15" max="15" width="7" bestFit="1" customWidth="1"/>
    <col min="16" max="16" width="14.28515625" bestFit="1" customWidth="1"/>
    <col min="17" max="17" width="14.7109375" bestFit="1" customWidth="1"/>
    <col min="18" max="18" width="36.85546875" bestFit="1" customWidth="1"/>
    <col min="19" max="19" width="19.140625" bestFit="1" customWidth="1"/>
    <col min="20" max="20" width="19.42578125" bestFit="1" customWidth="1"/>
    <col min="21" max="21" width="62.28515625" bestFit="1" customWidth="1"/>
    <col min="22" max="22" width="17.42578125" bestFit="1" customWidth="1"/>
  </cols>
  <sheetData>
    <row r="1" spans="1:22" x14ac:dyDescent="0.25">
      <c r="A1" s="18" t="s">
        <v>24</v>
      </c>
      <c r="B1" s="10" t="s">
        <v>26</v>
      </c>
      <c r="C1" s="10" t="s">
        <v>25</v>
      </c>
      <c r="D1" s="10" t="s">
        <v>65</v>
      </c>
      <c r="E1" s="10" t="s">
        <v>66</v>
      </c>
      <c r="F1" s="10" t="s">
        <v>67</v>
      </c>
      <c r="G1" s="10" t="s">
        <v>28</v>
      </c>
      <c r="H1" s="10" t="s">
        <v>68</v>
      </c>
      <c r="I1" s="10" t="s">
        <v>56</v>
      </c>
      <c r="J1" s="10" t="s">
        <v>57</v>
      </c>
      <c r="K1" s="10" t="s">
        <v>58</v>
      </c>
      <c r="L1" s="10" t="s">
        <v>59</v>
      </c>
      <c r="M1" s="10" t="s">
        <v>60</v>
      </c>
      <c r="N1" s="10" t="s">
        <v>62</v>
      </c>
      <c r="O1" s="10" t="s">
        <v>37</v>
      </c>
      <c r="P1" s="10" t="s">
        <v>38</v>
      </c>
      <c r="Q1" s="10" t="s">
        <v>61</v>
      </c>
      <c r="R1" s="10" t="s">
        <v>54</v>
      </c>
      <c r="S1" s="10" t="s">
        <v>63</v>
      </c>
      <c r="T1" s="10" t="s">
        <v>64</v>
      </c>
      <c r="U1" s="50" t="s">
        <v>55</v>
      </c>
      <c r="V1" s="15"/>
    </row>
    <row r="2" spans="1:22" x14ac:dyDescent="0.25">
      <c r="A2" s="11">
        <v>2007</v>
      </c>
      <c r="B2" s="11"/>
      <c r="C2" s="35">
        <f>G2*7.2/100</f>
        <v>3075.4079999999999</v>
      </c>
      <c r="D2" s="12">
        <v>0.7</v>
      </c>
      <c r="E2" s="12">
        <v>0.75</v>
      </c>
      <c r="F2" s="12">
        <v>0.8</v>
      </c>
      <c r="G2" s="33">
        <f>42714</f>
        <v>42714</v>
      </c>
      <c r="H2" s="48">
        <v>2.32876712328767E-2</v>
      </c>
      <c r="I2" s="48">
        <v>3.4931506849315071E-2</v>
      </c>
      <c r="J2" s="35">
        <f t="shared" ref="J2:J12" si="0">G2-K2</f>
        <v>39638.591999999997</v>
      </c>
      <c r="K2" s="35">
        <f t="shared" ref="K2:K12" si="1">C2</f>
        <v>3075.4079999999999</v>
      </c>
      <c r="L2" s="40">
        <f>ROUND(H2*J2,0)</f>
        <v>923</v>
      </c>
      <c r="M2" s="40">
        <f t="shared" ref="M2" si="2">ROUND(I2*K2,0)</f>
        <v>107</v>
      </c>
      <c r="N2" s="12">
        <v>1007</v>
      </c>
      <c r="O2" s="44">
        <v>0.81</v>
      </c>
      <c r="P2" s="44">
        <v>0.82</v>
      </c>
      <c r="Q2" s="45">
        <f>N2*O2*P2</f>
        <v>668.84940000000006</v>
      </c>
      <c r="R2" s="41">
        <v>0.17</v>
      </c>
      <c r="S2" s="43">
        <f>Q2-T2</f>
        <v>555.14500200000009</v>
      </c>
      <c r="T2" s="43">
        <f>Q2*R2</f>
        <v>113.70439800000001</v>
      </c>
      <c r="U2" s="16"/>
      <c r="V2" s="16"/>
    </row>
    <row r="3" spans="1:22" x14ac:dyDescent="0.25">
      <c r="A3" s="11">
        <v>2008</v>
      </c>
      <c r="B3" s="13"/>
      <c r="C3" s="35">
        <f t="shared" ref="C3:C12" si="3">G3*7.2/100</f>
        <v>3229.1784000000002</v>
      </c>
      <c r="D3" s="11"/>
      <c r="E3" s="11"/>
      <c r="F3" s="11"/>
      <c r="G3" s="35">
        <f>1.05*G2</f>
        <v>44849.700000000004</v>
      </c>
      <c r="H3" s="48"/>
      <c r="I3" s="48"/>
      <c r="J3" s="35">
        <f t="shared" si="0"/>
        <v>41620.521600000007</v>
      </c>
      <c r="K3" s="35">
        <f t="shared" si="1"/>
        <v>3229.1784000000002</v>
      </c>
      <c r="L3" s="14"/>
      <c r="M3" s="14"/>
      <c r="N3" s="12">
        <v>922</v>
      </c>
      <c r="O3" s="44">
        <v>0.81</v>
      </c>
      <c r="P3" s="44">
        <v>0.82</v>
      </c>
      <c r="Q3" s="45">
        <f t="shared" ref="Q3:Q12" si="4">N3*O3*P3</f>
        <v>612.39239999999995</v>
      </c>
      <c r="R3" s="41">
        <v>0.17</v>
      </c>
      <c r="S3" s="43">
        <f t="shared" ref="S3:S12" si="5">Q3-T3</f>
        <v>508.28569199999993</v>
      </c>
      <c r="T3" s="43">
        <f t="shared" ref="T3:T12" si="6">Q3*R3</f>
        <v>104.106708</v>
      </c>
      <c r="U3" s="16"/>
      <c r="V3" s="16"/>
    </row>
    <row r="4" spans="1:22" x14ac:dyDescent="0.25">
      <c r="A4" s="11">
        <v>2009</v>
      </c>
      <c r="B4" s="13"/>
      <c r="C4" s="35">
        <f t="shared" si="3"/>
        <v>3390.6373200000003</v>
      </c>
      <c r="D4" s="11"/>
      <c r="E4" s="11"/>
      <c r="F4" s="11"/>
      <c r="G4" s="35">
        <f t="shared" ref="G4:G11" si="7">1.05*G3</f>
        <v>47092.185000000005</v>
      </c>
      <c r="H4" s="48"/>
      <c r="I4" s="48"/>
      <c r="J4" s="35">
        <f t="shared" si="0"/>
        <v>43701.547680000003</v>
      </c>
      <c r="K4" s="35">
        <f t="shared" si="1"/>
        <v>3390.6373200000003</v>
      </c>
      <c r="L4" s="14"/>
      <c r="M4" s="14"/>
      <c r="N4" s="12">
        <v>1480</v>
      </c>
      <c r="O4" s="44">
        <v>0.81</v>
      </c>
      <c r="P4" s="44">
        <v>0.82</v>
      </c>
      <c r="Q4" s="45">
        <f t="shared" si="4"/>
        <v>983.01600000000008</v>
      </c>
      <c r="R4" s="41">
        <v>0.17</v>
      </c>
      <c r="S4" s="43">
        <f t="shared" si="5"/>
        <v>815.90328</v>
      </c>
      <c r="T4" s="43">
        <f t="shared" si="6"/>
        <v>167.11272000000002</v>
      </c>
      <c r="U4" s="17"/>
      <c r="V4" s="17"/>
    </row>
    <row r="5" spans="1:22" x14ac:dyDescent="0.25">
      <c r="A5" s="11">
        <v>2010</v>
      </c>
      <c r="B5" s="12">
        <v>178</v>
      </c>
      <c r="C5" s="35">
        <f t="shared" si="3"/>
        <v>3560.1691860000005</v>
      </c>
      <c r="D5" s="12">
        <v>0.7</v>
      </c>
      <c r="E5" s="12">
        <v>0.75</v>
      </c>
      <c r="F5" s="12">
        <v>0.8</v>
      </c>
      <c r="G5" s="35">
        <f t="shared" si="7"/>
        <v>49446.794250000006</v>
      </c>
      <c r="H5" s="48">
        <v>4.0273972602739724E-2</v>
      </c>
      <c r="I5" s="48">
        <v>4.3150684931506846E-2</v>
      </c>
      <c r="J5" s="35">
        <f t="shared" si="0"/>
        <v>45886.625064000007</v>
      </c>
      <c r="K5" s="35">
        <f t="shared" si="1"/>
        <v>3560.1691860000005</v>
      </c>
      <c r="L5" s="39">
        <f t="shared" ref="L5:L11" si="8">ROUND(H5*J5,0)</f>
        <v>1848</v>
      </c>
      <c r="M5" s="39">
        <f t="shared" ref="M5:M12" si="9">ROUND(I5*K5,0)</f>
        <v>154</v>
      </c>
      <c r="N5" s="12">
        <v>1758</v>
      </c>
      <c r="O5" s="44">
        <v>0.81</v>
      </c>
      <c r="P5" s="44">
        <v>0.82</v>
      </c>
      <c r="Q5" s="45">
        <f t="shared" si="4"/>
        <v>1167.6635999999999</v>
      </c>
      <c r="R5" s="41">
        <v>0.17</v>
      </c>
      <c r="S5" s="43">
        <f t="shared" si="5"/>
        <v>969.16078799999991</v>
      </c>
      <c r="T5" s="43">
        <f t="shared" si="6"/>
        <v>198.50281199999998</v>
      </c>
      <c r="U5" s="17"/>
      <c r="V5" s="17"/>
    </row>
    <row r="6" spans="1:22" x14ac:dyDescent="0.25">
      <c r="A6" s="11">
        <v>2011</v>
      </c>
      <c r="B6" s="12">
        <v>218</v>
      </c>
      <c r="C6" s="35">
        <f t="shared" si="3"/>
        <v>3738.1776453000011</v>
      </c>
      <c r="D6" s="11"/>
      <c r="E6" s="11"/>
      <c r="F6" s="11"/>
      <c r="G6" s="35">
        <f t="shared" si="7"/>
        <v>51919.133962500011</v>
      </c>
      <c r="H6" s="48">
        <v>3.7534246575342468E-2</v>
      </c>
      <c r="I6" s="48">
        <v>4.726027397260274E-2</v>
      </c>
      <c r="J6" s="35">
        <f t="shared" si="0"/>
        <v>48180.956317200013</v>
      </c>
      <c r="K6" s="35">
        <f t="shared" si="1"/>
        <v>3738.1776453000011</v>
      </c>
      <c r="L6" s="39">
        <f t="shared" si="8"/>
        <v>1808</v>
      </c>
      <c r="M6" s="39">
        <f t="shared" si="9"/>
        <v>177</v>
      </c>
      <c r="N6" s="12">
        <v>1863</v>
      </c>
      <c r="O6" s="44">
        <v>0.81</v>
      </c>
      <c r="P6" s="44">
        <v>0.82</v>
      </c>
      <c r="Q6" s="45">
        <f t="shared" si="4"/>
        <v>1237.4046000000001</v>
      </c>
      <c r="R6" s="41">
        <v>0.17</v>
      </c>
      <c r="S6" s="43">
        <f t="shared" si="5"/>
        <v>1027.0458180000001</v>
      </c>
      <c r="T6" s="43">
        <f t="shared" si="6"/>
        <v>210.35878200000002</v>
      </c>
      <c r="U6" s="17"/>
      <c r="V6" s="17"/>
    </row>
    <row r="7" spans="1:22" x14ac:dyDescent="0.25">
      <c r="A7" s="11">
        <v>2012</v>
      </c>
      <c r="B7" s="12">
        <v>200</v>
      </c>
      <c r="C7" s="35">
        <f t="shared" si="3"/>
        <v>3925.0865275650012</v>
      </c>
      <c r="D7" s="12">
        <v>0.91200000000000003</v>
      </c>
      <c r="E7" s="12">
        <v>0.82</v>
      </c>
      <c r="F7" s="12">
        <v>0.88</v>
      </c>
      <c r="G7" s="35">
        <f t="shared" si="7"/>
        <v>54515.090660625014</v>
      </c>
      <c r="H7" s="48">
        <v>4.876712328767123E-2</v>
      </c>
      <c r="I7" s="48">
        <v>5.3835616438356167E-2</v>
      </c>
      <c r="J7" s="35">
        <f t="shared" si="0"/>
        <v>50590.004133060014</v>
      </c>
      <c r="K7" s="35">
        <f t="shared" si="1"/>
        <v>3925.0865275650012</v>
      </c>
      <c r="L7" s="39">
        <f t="shared" si="8"/>
        <v>2467</v>
      </c>
      <c r="M7" s="39">
        <f t="shared" si="9"/>
        <v>211</v>
      </c>
      <c r="N7" s="12">
        <v>2436</v>
      </c>
      <c r="O7" s="44">
        <v>0.81</v>
      </c>
      <c r="P7" s="44">
        <v>0.82</v>
      </c>
      <c r="Q7" s="45">
        <f t="shared" si="4"/>
        <v>1617.9911999999999</v>
      </c>
      <c r="R7" s="41">
        <v>0.17</v>
      </c>
      <c r="S7" s="43">
        <f t="shared" si="5"/>
        <v>1342.9326959999999</v>
      </c>
      <c r="T7" s="43">
        <f t="shared" si="6"/>
        <v>275.05850400000003</v>
      </c>
      <c r="U7" s="17"/>
      <c r="V7" s="17"/>
    </row>
    <row r="8" spans="1:22" x14ac:dyDescent="0.25">
      <c r="A8" s="11">
        <v>2013</v>
      </c>
      <c r="B8" s="12">
        <v>218</v>
      </c>
      <c r="C8" s="35">
        <f t="shared" si="3"/>
        <v>4121.3408539432512</v>
      </c>
      <c r="D8" s="12">
        <v>0.91200000000000003</v>
      </c>
      <c r="E8" s="34">
        <v>0.86</v>
      </c>
      <c r="F8" s="12">
        <v>0.9</v>
      </c>
      <c r="G8" s="35">
        <f t="shared" si="7"/>
        <v>57240.845193656263</v>
      </c>
      <c r="H8" s="48">
        <v>5.2876712328767124E-2</v>
      </c>
      <c r="I8" s="48">
        <v>6.2671232876712321E-2</v>
      </c>
      <c r="J8" s="35">
        <f t="shared" si="0"/>
        <v>53119.504339713014</v>
      </c>
      <c r="K8" s="35">
        <f t="shared" si="1"/>
        <v>4121.3408539432512</v>
      </c>
      <c r="L8" s="39">
        <f t="shared" si="8"/>
        <v>2809</v>
      </c>
      <c r="M8" s="39">
        <f t="shared" si="9"/>
        <v>258</v>
      </c>
      <c r="N8" s="12">
        <v>2978</v>
      </c>
      <c r="O8" s="44">
        <v>0.81</v>
      </c>
      <c r="P8" s="44">
        <v>0.82</v>
      </c>
      <c r="Q8" s="45">
        <f t="shared" si="4"/>
        <v>1977.9876000000002</v>
      </c>
      <c r="R8" s="41">
        <v>0.17</v>
      </c>
      <c r="S8" s="43">
        <f t="shared" si="5"/>
        <v>1641.7297080000001</v>
      </c>
      <c r="T8" s="43">
        <f t="shared" si="6"/>
        <v>336.25789200000003</v>
      </c>
      <c r="U8" s="17"/>
      <c r="V8" s="17"/>
    </row>
    <row r="9" spans="1:22" x14ac:dyDescent="0.25">
      <c r="A9" s="11">
        <v>2014</v>
      </c>
      <c r="B9" s="12">
        <v>219</v>
      </c>
      <c r="C9" s="35">
        <f t="shared" si="3"/>
        <v>4327.407896640414</v>
      </c>
      <c r="D9" s="12">
        <v>0.91200000000000003</v>
      </c>
      <c r="E9" s="34">
        <v>0.89</v>
      </c>
      <c r="F9" s="34">
        <v>0.9</v>
      </c>
      <c r="G9" s="35">
        <f t="shared" si="7"/>
        <v>60102.887453339077</v>
      </c>
      <c r="H9" s="48">
        <v>5.1506849315068493E-2</v>
      </c>
      <c r="I9" s="48">
        <v>5.321917808219178E-2</v>
      </c>
      <c r="J9" s="35">
        <f t="shared" si="0"/>
        <v>55775.479556698665</v>
      </c>
      <c r="K9" s="35">
        <f t="shared" si="1"/>
        <v>4327.407896640414</v>
      </c>
      <c r="L9" s="39">
        <f t="shared" si="8"/>
        <v>2873</v>
      </c>
      <c r="M9" s="39">
        <f t="shared" si="9"/>
        <v>230</v>
      </c>
      <c r="N9" s="12">
        <v>3269</v>
      </c>
      <c r="O9" s="44">
        <v>0.81</v>
      </c>
      <c r="P9" s="44">
        <v>0.82</v>
      </c>
      <c r="Q9" s="45">
        <f t="shared" si="4"/>
        <v>2171.2698</v>
      </c>
      <c r="R9" s="41">
        <v>0.17</v>
      </c>
      <c r="S9" s="43">
        <f t="shared" si="5"/>
        <v>1802.1539339999999</v>
      </c>
      <c r="T9" s="43">
        <f t="shared" si="6"/>
        <v>369.11586600000004</v>
      </c>
      <c r="U9" s="17"/>
      <c r="V9" s="17"/>
    </row>
    <row r="10" spans="1:22" x14ac:dyDescent="0.25">
      <c r="A10" s="11">
        <v>2015</v>
      </c>
      <c r="B10" s="12">
        <v>206</v>
      </c>
      <c r="C10" s="35">
        <f t="shared" si="3"/>
        <v>4543.7782914724339</v>
      </c>
      <c r="D10" s="12">
        <v>0.91200000000000003</v>
      </c>
      <c r="E10" s="12">
        <v>0.92</v>
      </c>
      <c r="F10" s="12">
        <v>0.92</v>
      </c>
      <c r="G10" s="35">
        <f t="shared" si="7"/>
        <v>63108.03182600603</v>
      </c>
      <c r="H10" s="48">
        <v>6.6575342465753418E-2</v>
      </c>
      <c r="I10" s="48">
        <v>6.7191780821917804E-2</v>
      </c>
      <c r="J10" s="35">
        <f t="shared" si="0"/>
        <v>58564.253534533593</v>
      </c>
      <c r="K10" s="35">
        <f t="shared" si="1"/>
        <v>4543.7782914724339</v>
      </c>
      <c r="L10" s="39">
        <f t="shared" si="8"/>
        <v>3899</v>
      </c>
      <c r="M10" s="39">
        <f t="shared" si="9"/>
        <v>305</v>
      </c>
      <c r="N10" s="12">
        <v>4865</v>
      </c>
      <c r="O10" s="44">
        <v>0.81</v>
      </c>
      <c r="P10" s="44">
        <v>0.82</v>
      </c>
      <c r="Q10" s="45">
        <f t="shared" si="4"/>
        <v>3231.3330000000001</v>
      </c>
      <c r="R10" s="42">
        <v>0.17</v>
      </c>
      <c r="S10" s="43">
        <f t="shared" si="5"/>
        <v>2682.00639</v>
      </c>
      <c r="T10" s="43">
        <f t="shared" si="6"/>
        <v>549.32661000000007</v>
      </c>
      <c r="U10" s="17"/>
      <c r="V10" s="17"/>
    </row>
    <row r="11" spans="1:22" x14ac:dyDescent="0.25">
      <c r="A11" s="11">
        <v>2016</v>
      </c>
      <c r="B11" s="12">
        <v>233</v>
      </c>
      <c r="C11" s="35">
        <f t="shared" si="3"/>
        <v>4770.9672060460571</v>
      </c>
      <c r="D11" s="12">
        <v>0.91200000000000003</v>
      </c>
      <c r="E11" s="12">
        <v>0.95</v>
      </c>
      <c r="F11" s="12">
        <v>0.94</v>
      </c>
      <c r="G11" s="35">
        <f t="shared" si="7"/>
        <v>66263.43341730634</v>
      </c>
      <c r="H11" s="48">
        <v>6.3287671232876708E-2</v>
      </c>
      <c r="I11" s="48">
        <v>6.9246575342465755E-2</v>
      </c>
      <c r="J11" s="35">
        <f t="shared" si="0"/>
        <v>61492.466211260282</v>
      </c>
      <c r="K11" s="35">
        <f t="shared" si="1"/>
        <v>4770.9672060460571</v>
      </c>
      <c r="L11" s="39">
        <f t="shared" si="8"/>
        <v>3892</v>
      </c>
      <c r="M11" s="39">
        <f t="shared" si="9"/>
        <v>330</v>
      </c>
      <c r="N11" s="12">
        <v>6265</v>
      </c>
      <c r="O11" s="44">
        <v>0.81</v>
      </c>
      <c r="P11" s="44">
        <v>0.82</v>
      </c>
      <c r="Q11" s="45">
        <f t="shared" si="4"/>
        <v>4161.2130000000006</v>
      </c>
      <c r="R11" s="42">
        <v>0.13</v>
      </c>
      <c r="S11" s="43">
        <f t="shared" si="5"/>
        <v>3620.2553100000005</v>
      </c>
      <c r="T11" s="43">
        <f t="shared" si="6"/>
        <v>540.95769000000007</v>
      </c>
      <c r="U11" s="51">
        <v>0.18</v>
      </c>
    </row>
    <row r="12" spans="1:22" x14ac:dyDescent="0.25">
      <c r="A12" s="11">
        <v>2017</v>
      </c>
      <c r="B12" s="12">
        <v>194</v>
      </c>
      <c r="C12" s="35">
        <f t="shared" si="3"/>
        <v>5009.5155663483602</v>
      </c>
      <c r="D12" s="11"/>
      <c r="E12" s="11"/>
      <c r="F12" s="11"/>
      <c r="G12" s="35">
        <f>1.05*G11</f>
        <v>69576.605088171666</v>
      </c>
      <c r="H12" s="48" t="e">
        <f>0.01*(#REF!*#REF!+#REF!*#REF!)/(#REF!+#REF!)</f>
        <v>#REF!</v>
      </c>
      <c r="I12" s="48">
        <v>4.6699999999999998E-2</v>
      </c>
      <c r="J12" s="35">
        <f t="shared" si="0"/>
        <v>64567.089521823305</v>
      </c>
      <c r="K12" s="35">
        <f t="shared" si="1"/>
        <v>5009.5155663483602</v>
      </c>
      <c r="L12" s="14"/>
      <c r="M12" s="39">
        <f t="shared" si="9"/>
        <v>234</v>
      </c>
      <c r="N12" s="12">
        <v>7289</v>
      </c>
      <c r="O12" s="44">
        <v>0.81</v>
      </c>
      <c r="P12" s="44">
        <v>0.7</v>
      </c>
      <c r="Q12" s="45">
        <f t="shared" si="4"/>
        <v>4132.8630000000003</v>
      </c>
      <c r="R12" s="41">
        <v>0.1</v>
      </c>
      <c r="S12" s="43">
        <f t="shared" si="5"/>
        <v>3719.5767000000001</v>
      </c>
      <c r="T12" s="43">
        <f t="shared" si="6"/>
        <v>413.28630000000004</v>
      </c>
    </row>
    <row r="13" spans="1:22" x14ac:dyDescent="0.25">
      <c r="A13" s="11">
        <v>2018</v>
      </c>
      <c r="B13" s="11"/>
      <c r="C13" s="20"/>
      <c r="G13" s="14"/>
    </row>
    <row r="14" spans="1:22" x14ac:dyDescent="0.25">
      <c r="B14" s="11"/>
      <c r="J14" s="47"/>
    </row>
    <row r="15" spans="1:22" x14ac:dyDescent="0.25">
      <c r="B15" s="11"/>
      <c r="J15" s="47"/>
    </row>
    <row r="16" spans="1:22" x14ac:dyDescent="0.25">
      <c r="B16" s="11"/>
      <c r="G16" s="11"/>
    </row>
    <row r="17" spans="2:7" x14ac:dyDescent="0.25">
      <c r="B17" s="11"/>
      <c r="G17" s="11"/>
    </row>
    <row r="18" spans="2:7" x14ac:dyDescent="0.25">
      <c r="B18" s="11"/>
      <c r="G18" s="11"/>
    </row>
    <row r="19" spans="2:7" x14ac:dyDescent="0.25">
      <c r="B19" s="11"/>
      <c r="G19" s="11"/>
    </row>
    <row r="20" spans="2:7" x14ac:dyDescent="0.25">
      <c r="B20" s="11"/>
      <c r="G20" s="11"/>
    </row>
    <row r="21" spans="2:7" x14ac:dyDescent="0.25">
      <c r="B21" s="11"/>
      <c r="G21" s="11"/>
    </row>
    <row r="22" spans="2:7" x14ac:dyDescent="0.25">
      <c r="G22" s="11"/>
    </row>
    <row r="23" spans="2:7" x14ac:dyDescent="0.25">
      <c r="G23" s="11"/>
    </row>
    <row r="24" spans="2:7" x14ac:dyDescent="0.25">
      <c r="G24" s="11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zoomScale="70" zoomScaleNormal="70" workbookViewId="0">
      <selection activeCell="H43" sqref="H43"/>
    </sheetView>
  </sheetViews>
  <sheetFormatPr defaultRowHeight="15" x14ac:dyDescent="0.25"/>
  <cols>
    <col min="1" max="1" width="9" style="53" bestFit="1" customWidth="1"/>
    <col min="2" max="2" width="15.28515625" style="69" bestFit="1" customWidth="1"/>
    <col min="3" max="3" width="14.42578125" style="69" bestFit="1" customWidth="1"/>
    <col min="4" max="4" width="15" style="69" bestFit="1" customWidth="1"/>
    <col min="5" max="5" width="12.28515625" style="69" bestFit="1" customWidth="1"/>
    <col min="6" max="6" width="11" style="69" bestFit="1" customWidth="1"/>
    <col min="7" max="7" width="13.140625" style="69" bestFit="1" customWidth="1"/>
    <col min="8" max="10" width="16" style="69" bestFit="1" customWidth="1"/>
    <col min="11" max="11" width="14.7109375" style="69" bestFit="1" customWidth="1"/>
    <col min="12" max="13" width="14.42578125" style="69" bestFit="1" customWidth="1"/>
    <col min="14" max="16" width="15" style="69" bestFit="1" customWidth="1"/>
    <col min="17" max="17" width="14.7109375" style="69" bestFit="1" customWidth="1"/>
    <col min="18" max="18" width="14.42578125" style="69" bestFit="1" customWidth="1"/>
    <col min="19" max="19" width="14.140625" style="69" bestFit="1" customWidth="1"/>
    <col min="20" max="20" width="14.42578125" style="69" bestFit="1" customWidth="1"/>
    <col min="21" max="21" width="19.85546875" style="69" bestFit="1" customWidth="1"/>
    <col min="22" max="22" width="28" style="69" bestFit="1" customWidth="1"/>
    <col min="23" max="23" width="14.42578125" style="69" bestFit="1" customWidth="1"/>
    <col min="24" max="24" width="19.85546875" style="69" bestFit="1" customWidth="1"/>
    <col min="25" max="25" width="28" style="69" bestFit="1" customWidth="1"/>
    <col min="26" max="26" width="13.42578125" style="69" bestFit="1" customWidth="1"/>
    <col min="27" max="27" width="12.85546875" style="69" bestFit="1" customWidth="1"/>
    <col min="28" max="28" width="14.42578125" style="69" bestFit="1" customWidth="1"/>
    <col min="29" max="29" width="15" style="69" bestFit="1" customWidth="1"/>
    <col min="30" max="30" width="10.85546875" style="69" bestFit="1" customWidth="1"/>
    <col min="31" max="31" width="14.42578125" style="69" bestFit="1" customWidth="1"/>
    <col min="32" max="32" width="15" style="69" bestFit="1" customWidth="1"/>
    <col min="33" max="33" width="11" style="69" bestFit="1" customWidth="1"/>
  </cols>
  <sheetData>
    <row r="1" spans="1:33" x14ac:dyDescent="0.25">
      <c r="A1" s="37" t="s">
        <v>93</v>
      </c>
      <c r="B1" s="36" t="s">
        <v>105</v>
      </c>
      <c r="C1" s="75" t="s">
        <v>103</v>
      </c>
      <c r="D1" s="76" t="s">
        <v>103</v>
      </c>
      <c r="E1" s="77" t="s">
        <v>103</v>
      </c>
      <c r="F1" s="37" t="s">
        <v>104</v>
      </c>
      <c r="G1" s="37" t="s">
        <v>27</v>
      </c>
      <c r="H1" s="75" t="s">
        <v>85</v>
      </c>
      <c r="I1" s="76" t="s">
        <v>85</v>
      </c>
      <c r="J1" s="77" t="s">
        <v>85</v>
      </c>
      <c r="K1" s="75" t="s">
        <v>78</v>
      </c>
      <c r="L1" s="76" t="s">
        <v>78</v>
      </c>
      <c r="M1" s="76" t="s">
        <v>78</v>
      </c>
      <c r="N1" s="76" t="s">
        <v>78</v>
      </c>
      <c r="O1" s="76" t="s">
        <v>78</v>
      </c>
      <c r="P1" s="76" t="s">
        <v>78</v>
      </c>
      <c r="Q1" s="76" t="s">
        <v>78</v>
      </c>
      <c r="R1" s="76" t="s">
        <v>78</v>
      </c>
      <c r="S1" s="77" t="s">
        <v>78</v>
      </c>
      <c r="T1" s="75" t="s">
        <v>88</v>
      </c>
      <c r="U1" s="76" t="s">
        <v>88</v>
      </c>
      <c r="V1" s="77" t="s">
        <v>88</v>
      </c>
      <c r="W1" s="75" t="s">
        <v>92</v>
      </c>
      <c r="X1" s="76" t="s">
        <v>92</v>
      </c>
      <c r="Y1" s="77" t="s">
        <v>92</v>
      </c>
      <c r="Z1" s="90" t="s">
        <v>102</v>
      </c>
      <c r="AA1" s="92" t="s">
        <v>102</v>
      </c>
      <c r="AB1" s="90" t="s">
        <v>86</v>
      </c>
      <c r="AC1" s="91" t="s">
        <v>86</v>
      </c>
      <c r="AD1" s="91" t="s">
        <v>86</v>
      </c>
      <c r="AE1" s="91" t="s">
        <v>87</v>
      </c>
      <c r="AF1" s="91" t="s">
        <v>87</v>
      </c>
      <c r="AG1" s="92" t="s">
        <v>87</v>
      </c>
    </row>
    <row r="2" spans="1:33" x14ac:dyDescent="0.25">
      <c r="A2" s="38" t="s">
        <v>94</v>
      </c>
      <c r="B2" s="53"/>
      <c r="C2" s="78" t="s">
        <v>79</v>
      </c>
      <c r="D2" s="79" t="s">
        <v>80</v>
      </c>
      <c r="E2" s="80" t="s">
        <v>81</v>
      </c>
      <c r="F2" s="38"/>
      <c r="G2" s="38"/>
      <c r="H2" s="78" t="s">
        <v>79</v>
      </c>
      <c r="I2" s="79" t="s">
        <v>80</v>
      </c>
      <c r="J2" s="80" t="s">
        <v>81</v>
      </c>
      <c r="K2" s="78" t="s">
        <v>79</v>
      </c>
      <c r="L2" s="79" t="s">
        <v>79</v>
      </c>
      <c r="M2" s="79" t="s">
        <v>79</v>
      </c>
      <c r="N2" s="79" t="s">
        <v>80</v>
      </c>
      <c r="O2" s="79" t="s">
        <v>80</v>
      </c>
      <c r="P2" s="79" t="s">
        <v>80</v>
      </c>
      <c r="Q2" s="79" t="s">
        <v>81</v>
      </c>
      <c r="R2" s="79" t="s">
        <v>81</v>
      </c>
      <c r="S2" s="80" t="s">
        <v>81</v>
      </c>
      <c r="T2" s="78"/>
      <c r="U2" s="79"/>
      <c r="V2" s="80"/>
      <c r="W2" s="78"/>
      <c r="X2" s="79"/>
      <c r="Y2" s="80"/>
      <c r="Z2" s="93"/>
      <c r="AA2" s="95"/>
      <c r="AB2" s="93" t="s">
        <v>79</v>
      </c>
      <c r="AC2" s="94" t="s">
        <v>80</v>
      </c>
      <c r="AD2" s="94" t="s">
        <v>81</v>
      </c>
      <c r="AE2" s="94" t="s">
        <v>79</v>
      </c>
      <c r="AF2" s="94" t="s">
        <v>80</v>
      </c>
      <c r="AG2" s="95" t="s">
        <v>81</v>
      </c>
    </row>
    <row r="3" spans="1:33" x14ac:dyDescent="0.25">
      <c r="A3" s="38" t="s">
        <v>95</v>
      </c>
      <c r="B3" s="53"/>
      <c r="C3" s="78"/>
      <c r="D3" s="79"/>
      <c r="E3" s="80"/>
      <c r="F3" s="38"/>
      <c r="G3" s="38"/>
      <c r="H3" s="78"/>
      <c r="I3" s="79"/>
      <c r="J3" s="80"/>
      <c r="K3" s="78" t="s">
        <v>82</v>
      </c>
      <c r="L3" s="79" t="s">
        <v>84</v>
      </c>
      <c r="M3" s="79" t="s">
        <v>83</v>
      </c>
      <c r="N3" s="79" t="s">
        <v>82</v>
      </c>
      <c r="O3" s="79" t="s">
        <v>84</v>
      </c>
      <c r="P3" s="79" t="s">
        <v>83</v>
      </c>
      <c r="Q3" s="79" t="s">
        <v>82</v>
      </c>
      <c r="R3" s="79" t="s">
        <v>84</v>
      </c>
      <c r="S3" s="80" t="s">
        <v>83</v>
      </c>
      <c r="T3" s="78" t="s">
        <v>89</v>
      </c>
      <c r="U3" s="79" t="s">
        <v>90</v>
      </c>
      <c r="V3" s="80" t="s">
        <v>91</v>
      </c>
      <c r="W3" s="78" t="s">
        <v>89</v>
      </c>
      <c r="X3" s="79" t="s">
        <v>90</v>
      </c>
      <c r="Y3" s="80" t="s">
        <v>91</v>
      </c>
      <c r="Z3" s="93" t="s">
        <v>100</v>
      </c>
      <c r="AA3" s="95" t="s">
        <v>101</v>
      </c>
      <c r="AB3" s="93"/>
      <c r="AC3" s="94"/>
      <c r="AD3" s="94"/>
      <c r="AE3" s="94"/>
      <c r="AF3" s="94"/>
      <c r="AG3" s="95"/>
    </row>
    <row r="4" spans="1:33" s="68" customFormat="1" x14ac:dyDescent="0.25">
      <c r="A4" s="37">
        <v>2000</v>
      </c>
      <c r="B4" s="36">
        <v>0.13</v>
      </c>
      <c r="C4" s="81">
        <v>1</v>
      </c>
      <c r="D4" s="82">
        <v>10</v>
      </c>
      <c r="E4" s="83">
        <v>0.03</v>
      </c>
      <c r="F4" s="74"/>
      <c r="G4" s="74">
        <v>0.7</v>
      </c>
      <c r="H4" s="81">
        <v>0.42</v>
      </c>
      <c r="I4" s="82">
        <v>0.35</v>
      </c>
      <c r="J4" s="83">
        <v>0.1</v>
      </c>
      <c r="K4" s="81">
        <v>1</v>
      </c>
      <c r="L4" s="82">
        <v>4</v>
      </c>
      <c r="M4" s="82">
        <v>10</v>
      </c>
      <c r="N4" s="82">
        <v>0.5</v>
      </c>
      <c r="O4" s="82">
        <v>4</v>
      </c>
      <c r="P4" s="82">
        <v>4</v>
      </c>
      <c r="Q4" s="82">
        <f>3/12</f>
        <v>0.25</v>
      </c>
      <c r="R4" s="82">
        <f>3/12</f>
        <v>0.25</v>
      </c>
      <c r="S4" s="83">
        <f>3/12</f>
        <v>0.25</v>
      </c>
      <c r="T4" s="81"/>
      <c r="U4" s="82"/>
      <c r="V4" s="83"/>
      <c r="W4" s="81">
        <v>1</v>
      </c>
      <c r="X4" s="82">
        <v>1</v>
      </c>
      <c r="Y4" s="83">
        <v>0.04</v>
      </c>
      <c r="Z4" s="96">
        <v>1</v>
      </c>
      <c r="AA4" s="98">
        <v>2</v>
      </c>
      <c r="AB4" s="96">
        <v>0</v>
      </c>
      <c r="AC4" s="97">
        <v>0</v>
      </c>
      <c r="AD4" s="97">
        <v>0</v>
      </c>
      <c r="AE4" s="97">
        <v>0</v>
      </c>
      <c r="AF4" s="97">
        <v>0</v>
      </c>
      <c r="AG4" s="98">
        <v>0</v>
      </c>
    </row>
    <row r="5" spans="1:33" s="68" customFormat="1" x14ac:dyDescent="0.25">
      <c r="A5" s="38">
        <v>2001</v>
      </c>
      <c r="B5" s="53"/>
      <c r="C5" s="84"/>
      <c r="D5" s="85"/>
      <c r="E5" s="86"/>
      <c r="F5" s="71"/>
      <c r="G5" s="71"/>
      <c r="H5" s="84"/>
      <c r="I5" s="85"/>
      <c r="J5" s="86"/>
      <c r="K5" s="84"/>
      <c r="L5" s="85"/>
      <c r="M5" s="85"/>
      <c r="N5" s="85"/>
      <c r="O5" s="85"/>
      <c r="P5" s="85"/>
      <c r="Q5" s="85"/>
      <c r="R5" s="85"/>
      <c r="S5" s="86"/>
      <c r="T5" s="84"/>
      <c r="U5" s="85"/>
      <c r="V5" s="86"/>
      <c r="W5" s="84"/>
      <c r="X5" s="85"/>
      <c r="Y5" s="86"/>
      <c r="Z5" s="99"/>
      <c r="AA5" s="101"/>
      <c r="AB5" s="99"/>
      <c r="AC5" s="100"/>
      <c r="AD5" s="100"/>
      <c r="AE5" s="100"/>
      <c r="AF5" s="100"/>
      <c r="AG5" s="101"/>
    </row>
    <row r="6" spans="1:33" s="68" customFormat="1" x14ac:dyDescent="0.25">
      <c r="A6" s="38">
        <v>2002</v>
      </c>
      <c r="B6" s="53"/>
      <c r="C6" s="84"/>
      <c r="D6" s="85"/>
      <c r="E6" s="86"/>
      <c r="F6" s="71"/>
      <c r="G6" s="71"/>
      <c r="H6" s="84"/>
      <c r="I6" s="85"/>
      <c r="J6" s="86"/>
      <c r="K6" s="84"/>
      <c r="L6" s="85"/>
      <c r="M6" s="85"/>
      <c r="N6" s="85"/>
      <c r="O6" s="85"/>
      <c r="P6" s="85"/>
      <c r="Q6" s="85"/>
      <c r="R6" s="85"/>
      <c r="S6" s="86"/>
      <c r="T6" s="84"/>
      <c r="U6" s="85"/>
      <c r="V6" s="86"/>
      <c r="W6" s="84"/>
      <c r="X6" s="85"/>
      <c r="Y6" s="86"/>
      <c r="Z6" s="99"/>
      <c r="AA6" s="101"/>
      <c r="AB6" s="99"/>
      <c r="AC6" s="100"/>
      <c r="AD6" s="100"/>
      <c r="AE6" s="100"/>
      <c r="AF6" s="100"/>
      <c r="AG6" s="101"/>
    </row>
    <row r="7" spans="1:33" s="68" customFormat="1" x14ac:dyDescent="0.25">
      <c r="A7" s="38">
        <v>2003</v>
      </c>
      <c r="B7" s="53"/>
      <c r="C7" s="84"/>
      <c r="D7" s="85"/>
      <c r="E7" s="86"/>
      <c r="F7" s="71"/>
      <c r="G7" s="71"/>
      <c r="H7" s="84"/>
      <c r="I7" s="85"/>
      <c r="J7" s="86"/>
      <c r="K7" s="84"/>
      <c r="L7" s="85"/>
      <c r="M7" s="85"/>
      <c r="N7" s="85"/>
      <c r="O7" s="85"/>
      <c r="P7" s="85"/>
      <c r="Q7" s="85"/>
      <c r="R7" s="85"/>
      <c r="S7" s="86"/>
      <c r="T7" s="84"/>
      <c r="U7" s="85"/>
      <c r="V7" s="86"/>
      <c r="W7" s="84"/>
      <c r="X7" s="85"/>
      <c r="Y7" s="86"/>
      <c r="Z7" s="99"/>
      <c r="AA7" s="101"/>
      <c r="AB7" s="99"/>
      <c r="AC7" s="100"/>
      <c r="AD7" s="100"/>
      <c r="AE7" s="100"/>
      <c r="AF7" s="100"/>
      <c r="AG7" s="101"/>
    </row>
    <row r="8" spans="1:33" s="68" customFormat="1" x14ac:dyDescent="0.25">
      <c r="A8" s="38">
        <v>2004</v>
      </c>
      <c r="B8" s="53"/>
      <c r="C8" s="84"/>
      <c r="D8" s="85"/>
      <c r="E8" s="86"/>
      <c r="F8" s="71"/>
      <c r="G8" s="71"/>
      <c r="H8" s="84"/>
      <c r="I8" s="85"/>
      <c r="J8" s="86"/>
      <c r="K8" s="84"/>
      <c r="L8" s="85"/>
      <c r="M8" s="85"/>
      <c r="N8" s="85"/>
      <c r="O8" s="85"/>
      <c r="P8" s="85"/>
      <c r="Q8" s="85"/>
      <c r="R8" s="85"/>
      <c r="S8" s="86"/>
      <c r="T8" s="84"/>
      <c r="U8" s="85"/>
      <c r="V8" s="86"/>
      <c r="W8" s="84"/>
      <c r="X8" s="85"/>
      <c r="Y8" s="86"/>
      <c r="Z8" s="99"/>
      <c r="AA8" s="101"/>
      <c r="AB8" s="99"/>
      <c r="AC8" s="100"/>
      <c r="AD8" s="100"/>
      <c r="AE8" s="100"/>
      <c r="AF8" s="100"/>
      <c r="AG8" s="101"/>
    </row>
    <row r="9" spans="1:33" s="68" customFormat="1" x14ac:dyDescent="0.25">
      <c r="A9" s="38">
        <v>2005</v>
      </c>
      <c r="B9" s="53"/>
      <c r="C9" s="84"/>
      <c r="D9" s="85"/>
      <c r="E9" s="86"/>
      <c r="F9" s="71"/>
      <c r="G9" s="71"/>
      <c r="H9" s="84"/>
      <c r="I9" s="85"/>
      <c r="J9" s="86"/>
      <c r="K9" s="84"/>
      <c r="L9" s="85"/>
      <c r="M9" s="85"/>
      <c r="N9" s="85"/>
      <c r="O9" s="85"/>
      <c r="P9" s="85"/>
      <c r="Q9" s="85"/>
      <c r="R9" s="85"/>
      <c r="S9" s="86"/>
      <c r="T9" s="84"/>
      <c r="U9" s="85"/>
      <c r="V9" s="86"/>
      <c r="W9" s="84"/>
      <c r="X9" s="85"/>
      <c r="Y9" s="86"/>
      <c r="Z9" s="99"/>
      <c r="AA9" s="101"/>
      <c r="AB9" s="99"/>
      <c r="AC9" s="100"/>
      <c r="AD9" s="100"/>
      <c r="AE9" s="100"/>
      <c r="AF9" s="100"/>
      <c r="AG9" s="101"/>
    </row>
    <row r="10" spans="1:33" s="68" customFormat="1" x14ac:dyDescent="0.25">
      <c r="A10" s="38">
        <v>2006</v>
      </c>
      <c r="B10" s="53"/>
      <c r="C10" s="84"/>
      <c r="D10" s="85"/>
      <c r="E10" s="86"/>
      <c r="F10" s="71"/>
      <c r="G10" s="71"/>
      <c r="H10" s="84"/>
      <c r="I10" s="85"/>
      <c r="J10" s="86"/>
      <c r="K10" s="84"/>
      <c r="L10" s="85"/>
      <c r="M10" s="85"/>
      <c r="N10" s="85"/>
      <c r="O10" s="85"/>
      <c r="P10" s="85"/>
      <c r="Q10" s="85"/>
      <c r="R10" s="85"/>
      <c r="S10" s="86"/>
      <c r="T10" s="84"/>
      <c r="U10" s="85"/>
      <c r="V10" s="86"/>
      <c r="W10" s="84"/>
      <c r="X10" s="85"/>
      <c r="Y10" s="86"/>
      <c r="Z10" s="99"/>
      <c r="AA10" s="101"/>
      <c r="AB10" s="99"/>
      <c r="AC10" s="100"/>
      <c r="AD10" s="100"/>
      <c r="AE10" s="100"/>
      <c r="AF10" s="100"/>
      <c r="AG10" s="101"/>
    </row>
    <row r="11" spans="1:33" s="68" customFormat="1" x14ac:dyDescent="0.25">
      <c r="A11" s="38">
        <v>2007</v>
      </c>
      <c r="B11" s="53"/>
      <c r="C11" s="84"/>
      <c r="D11" s="85"/>
      <c r="E11" s="86"/>
      <c r="F11" s="71"/>
      <c r="G11" s="71"/>
      <c r="H11" s="84"/>
      <c r="I11" s="85"/>
      <c r="J11" s="86"/>
      <c r="K11" s="84"/>
      <c r="L11" s="85"/>
      <c r="M11" s="85"/>
      <c r="N11" s="85"/>
      <c r="O11" s="85"/>
      <c r="P11" s="85"/>
      <c r="Q11" s="85"/>
      <c r="R11" s="85"/>
      <c r="S11" s="86"/>
      <c r="T11" s="84">
        <v>0.7</v>
      </c>
      <c r="U11" s="85">
        <v>0.75</v>
      </c>
      <c r="V11" s="86">
        <v>0.8</v>
      </c>
      <c r="W11" s="84"/>
      <c r="X11" s="85"/>
      <c r="Y11" s="86"/>
      <c r="Z11" s="99"/>
      <c r="AA11" s="101"/>
      <c r="AB11" s="99"/>
      <c r="AC11" s="100"/>
      <c r="AD11" s="100"/>
      <c r="AE11" s="100"/>
      <c r="AF11" s="100"/>
      <c r="AG11" s="101"/>
    </row>
    <row r="12" spans="1:33" s="68" customFormat="1" x14ac:dyDescent="0.25">
      <c r="A12" s="38">
        <v>2008</v>
      </c>
      <c r="B12" s="53"/>
      <c r="C12" s="84"/>
      <c r="D12" s="85"/>
      <c r="E12" s="86"/>
      <c r="F12" s="71"/>
      <c r="G12" s="71"/>
      <c r="H12" s="84"/>
      <c r="I12" s="85"/>
      <c r="J12" s="86"/>
      <c r="K12" s="84"/>
      <c r="L12" s="85"/>
      <c r="M12" s="85"/>
      <c r="N12" s="85"/>
      <c r="O12" s="85"/>
      <c r="P12" s="85"/>
      <c r="Q12" s="85"/>
      <c r="R12" s="85"/>
      <c r="S12" s="86"/>
      <c r="T12" s="84"/>
      <c r="U12" s="85"/>
      <c r="V12" s="86"/>
      <c r="W12" s="84"/>
      <c r="X12" s="85"/>
      <c r="Y12" s="86"/>
      <c r="Z12" s="99"/>
      <c r="AA12" s="101"/>
      <c r="AB12" s="99"/>
      <c r="AC12" s="100"/>
      <c r="AD12" s="100"/>
      <c r="AE12" s="100"/>
      <c r="AF12" s="100"/>
      <c r="AG12" s="101"/>
    </row>
    <row r="13" spans="1:33" s="68" customFormat="1" x14ac:dyDescent="0.25">
      <c r="A13" s="38">
        <v>2009</v>
      </c>
      <c r="B13" s="53"/>
      <c r="C13" s="84"/>
      <c r="D13" s="85"/>
      <c r="E13" s="86"/>
      <c r="F13" s="71">
        <v>0</v>
      </c>
      <c r="G13" s="71"/>
      <c r="H13" s="84"/>
      <c r="I13" s="85"/>
      <c r="J13" s="86"/>
      <c r="K13" s="84"/>
      <c r="L13" s="85"/>
      <c r="M13" s="85"/>
      <c r="N13" s="85"/>
      <c r="O13" s="85"/>
      <c r="P13" s="85"/>
      <c r="Q13" s="85"/>
      <c r="R13" s="85"/>
      <c r="S13" s="86"/>
      <c r="T13" s="84"/>
      <c r="U13" s="85"/>
      <c r="V13" s="86"/>
      <c r="W13" s="84"/>
      <c r="X13" s="85"/>
      <c r="Y13" s="86"/>
      <c r="Z13" s="99"/>
      <c r="AA13" s="101"/>
      <c r="AB13" s="99"/>
      <c r="AC13" s="100"/>
      <c r="AD13" s="100"/>
      <c r="AE13" s="100"/>
      <c r="AF13" s="100"/>
      <c r="AG13" s="101"/>
    </row>
    <row r="14" spans="1:33" s="68" customFormat="1" x14ac:dyDescent="0.25">
      <c r="A14" s="38">
        <v>2010</v>
      </c>
      <c r="B14" s="53"/>
      <c r="C14" s="84"/>
      <c r="D14" s="85"/>
      <c r="E14" s="86"/>
      <c r="F14" s="71">
        <v>1500</v>
      </c>
      <c r="G14" s="71"/>
      <c r="H14" s="84"/>
      <c r="I14" s="85"/>
      <c r="J14" s="86"/>
      <c r="K14" s="84"/>
      <c r="L14" s="85"/>
      <c r="M14" s="85"/>
      <c r="N14" s="85"/>
      <c r="O14" s="85"/>
      <c r="P14" s="85"/>
      <c r="Q14" s="85"/>
      <c r="R14" s="85"/>
      <c r="S14" s="86"/>
      <c r="T14" s="84">
        <v>0.7</v>
      </c>
      <c r="U14" s="85">
        <v>0.75</v>
      </c>
      <c r="V14" s="86">
        <v>0.8</v>
      </c>
      <c r="W14" s="84"/>
      <c r="X14" s="85"/>
      <c r="Y14" s="86"/>
      <c r="Z14" s="99"/>
      <c r="AA14" s="101"/>
      <c r="AB14" s="99"/>
      <c r="AC14" s="100"/>
      <c r="AD14" s="100"/>
      <c r="AE14" s="100"/>
      <c r="AF14" s="100"/>
      <c r="AG14" s="101"/>
    </row>
    <row r="15" spans="1:33" s="68" customFormat="1" x14ac:dyDescent="0.25">
      <c r="A15" s="38">
        <v>2011</v>
      </c>
      <c r="B15" s="53"/>
      <c r="C15" s="84"/>
      <c r="D15" s="85"/>
      <c r="E15" s="86"/>
      <c r="F15" s="71"/>
      <c r="G15" s="71"/>
      <c r="H15" s="84"/>
      <c r="I15" s="85"/>
      <c r="J15" s="86"/>
      <c r="K15" s="84"/>
      <c r="L15" s="85"/>
      <c r="M15" s="85"/>
      <c r="N15" s="85"/>
      <c r="O15" s="85"/>
      <c r="P15" s="85"/>
      <c r="Q15" s="85"/>
      <c r="R15" s="85"/>
      <c r="S15" s="86"/>
      <c r="T15" s="84"/>
      <c r="U15" s="85"/>
      <c r="V15" s="86"/>
      <c r="W15" s="84"/>
      <c r="X15" s="85"/>
      <c r="Y15" s="86"/>
      <c r="Z15" s="99"/>
      <c r="AA15" s="101"/>
      <c r="AB15" s="99"/>
      <c r="AC15" s="100"/>
      <c r="AD15" s="100"/>
      <c r="AE15" s="100"/>
      <c r="AF15" s="100"/>
      <c r="AG15" s="101"/>
    </row>
    <row r="16" spans="1:33" s="68" customFormat="1" x14ac:dyDescent="0.25">
      <c r="A16" s="38">
        <v>2012</v>
      </c>
      <c r="B16" s="53"/>
      <c r="C16" s="84"/>
      <c r="D16" s="85"/>
      <c r="E16" s="86"/>
      <c r="F16" s="71"/>
      <c r="G16" s="71"/>
      <c r="H16" s="84"/>
      <c r="I16" s="85"/>
      <c r="J16" s="86"/>
      <c r="K16" s="84"/>
      <c r="L16" s="85"/>
      <c r="M16" s="85"/>
      <c r="N16" s="85"/>
      <c r="O16" s="85"/>
      <c r="P16" s="85"/>
      <c r="Q16" s="85"/>
      <c r="R16" s="85"/>
      <c r="S16" s="86"/>
      <c r="T16" s="84">
        <v>0.91200000000000003</v>
      </c>
      <c r="U16" s="85">
        <v>0.82</v>
      </c>
      <c r="V16" s="86">
        <v>0.88</v>
      </c>
      <c r="W16" s="84"/>
      <c r="X16" s="85"/>
      <c r="Y16" s="86"/>
      <c r="Z16" s="99"/>
      <c r="AA16" s="101"/>
      <c r="AB16" s="99"/>
      <c r="AC16" s="100"/>
      <c r="AD16" s="100"/>
      <c r="AE16" s="100"/>
      <c r="AF16" s="100"/>
      <c r="AG16" s="101"/>
    </row>
    <row r="17" spans="1:33" s="68" customFormat="1" x14ac:dyDescent="0.25">
      <c r="A17" s="38">
        <v>2013</v>
      </c>
      <c r="B17" s="53"/>
      <c r="C17" s="84"/>
      <c r="D17" s="85"/>
      <c r="E17" s="86"/>
      <c r="F17" s="71"/>
      <c r="G17" s="71"/>
      <c r="H17" s="84"/>
      <c r="I17" s="85"/>
      <c r="J17" s="86"/>
      <c r="K17" s="84"/>
      <c r="L17" s="85"/>
      <c r="M17" s="85"/>
      <c r="N17" s="85"/>
      <c r="O17" s="85"/>
      <c r="P17" s="85"/>
      <c r="Q17" s="85"/>
      <c r="R17" s="85"/>
      <c r="S17" s="86"/>
      <c r="T17" s="84">
        <v>0.91200000000000003</v>
      </c>
      <c r="U17" s="85">
        <v>0.86</v>
      </c>
      <c r="V17" s="86">
        <v>0.9</v>
      </c>
      <c r="W17" s="84"/>
      <c r="X17" s="85"/>
      <c r="Y17" s="86"/>
      <c r="Z17" s="99"/>
      <c r="AA17" s="101"/>
      <c r="AB17" s="99"/>
      <c r="AC17" s="100"/>
      <c r="AD17" s="100"/>
      <c r="AE17" s="100"/>
      <c r="AF17" s="100"/>
      <c r="AG17" s="101"/>
    </row>
    <row r="18" spans="1:33" s="68" customFormat="1" x14ac:dyDescent="0.25">
      <c r="A18" s="38">
        <v>2014</v>
      </c>
      <c r="B18" s="53"/>
      <c r="C18" s="84"/>
      <c r="D18" s="85"/>
      <c r="E18" s="86"/>
      <c r="F18" s="71"/>
      <c r="G18" s="71"/>
      <c r="H18" s="84"/>
      <c r="I18" s="85"/>
      <c r="J18" s="86"/>
      <c r="K18" s="84"/>
      <c r="L18" s="85"/>
      <c r="M18" s="85"/>
      <c r="N18" s="85"/>
      <c r="O18" s="85"/>
      <c r="P18" s="85"/>
      <c r="Q18" s="85"/>
      <c r="R18" s="85"/>
      <c r="S18" s="86"/>
      <c r="T18" s="84">
        <v>0.91200000000000003</v>
      </c>
      <c r="U18" s="85">
        <v>0.89</v>
      </c>
      <c r="V18" s="86">
        <v>0.9</v>
      </c>
      <c r="W18" s="84"/>
      <c r="X18" s="85"/>
      <c r="Y18" s="86"/>
      <c r="Z18" s="99"/>
      <c r="AA18" s="101"/>
      <c r="AB18" s="99"/>
      <c r="AC18" s="100"/>
      <c r="AD18" s="100"/>
      <c r="AE18" s="100"/>
      <c r="AF18" s="100"/>
      <c r="AG18" s="101"/>
    </row>
    <row r="19" spans="1:33" s="68" customFormat="1" x14ac:dyDescent="0.25">
      <c r="A19" s="38">
        <v>2015</v>
      </c>
      <c r="B19" s="53"/>
      <c r="C19" s="84"/>
      <c r="D19" s="85"/>
      <c r="E19" s="86"/>
      <c r="F19" s="71"/>
      <c r="G19" s="71"/>
      <c r="H19" s="84"/>
      <c r="I19" s="85"/>
      <c r="J19" s="86"/>
      <c r="K19" s="84"/>
      <c r="L19" s="85"/>
      <c r="M19" s="85"/>
      <c r="N19" s="85"/>
      <c r="O19" s="85"/>
      <c r="P19" s="85"/>
      <c r="Q19" s="85"/>
      <c r="R19" s="85"/>
      <c r="S19" s="86"/>
      <c r="T19" s="84">
        <v>0.91200000000000003</v>
      </c>
      <c r="U19" s="85">
        <v>0.92</v>
      </c>
      <c r="V19" s="86">
        <v>0.92</v>
      </c>
      <c r="W19" s="84"/>
      <c r="X19" s="85"/>
      <c r="Y19" s="86"/>
      <c r="Z19" s="99"/>
      <c r="AA19" s="101"/>
      <c r="AB19" s="99"/>
      <c r="AC19" s="100"/>
      <c r="AD19" s="100"/>
      <c r="AE19" s="100"/>
      <c r="AF19" s="100"/>
      <c r="AG19" s="101"/>
    </row>
    <row r="20" spans="1:33" s="68" customFormat="1" x14ac:dyDescent="0.25">
      <c r="A20" s="38">
        <v>2016</v>
      </c>
      <c r="B20" s="53"/>
      <c r="C20" s="84"/>
      <c r="D20" s="85"/>
      <c r="E20" s="86"/>
      <c r="F20" s="71">
        <v>4000</v>
      </c>
      <c r="G20" s="71"/>
      <c r="H20" s="84"/>
      <c r="I20" s="85"/>
      <c r="J20" s="86"/>
      <c r="K20" s="84"/>
      <c r="L20" s="85"/>
      <c r="M20" s="85"/>
      <c r="N20" s="85"/>
      <c r="O20" s="85"/>
      <c r="P20" s="85"/>
      <c r="Q20" s="85"/>
      <c r="R20" s="85"/>
      <c r="S20" s="86"/>
      <c r="T20" s="84">
        <v>0.91200000000000003</v>
      </c>
      <c r="U20" s="85">
        <v>0.95</v>
      </c>
      <c r="V20" s="86">
        <v>0.94</v>
      </c>
      <c r="W20" s="84"/>
      <c r="X20" s="85"/>
      <c r="Y20" s="86"/>
      <c r="Z20" s="99"/>
      <c r="AA20" s="101"/>
      <c r="AB20" s="99"/>
      <c r="AC20" s="100"/>
      <c r="AD20" s="100"/>
      <c r="AE20" s="100"/>
      <c r="AF20" s="100"/>
      <c r="AG20" s="101"/>
    </row>
    <row r="21" spans="1:33" s="68" customFormat="1" x14ac:dyDescent="0.25">
      <c r="A21" s="38">
        <v>2017</v>
      </c>
      <c r="B21" s="53"/>
      <c r="C21" s="84"/>
      <c r="D21" s="85"/>
      <c r="E21" s="86"/>
      <c r="F21" s="71"/>
      <c r="G21" s="71"/>
      <c r="H21" s="84"/>
      <c r="I21" s="85"/>
      <c r="J21" s="86"/>
      <c r="K21" s="84"/>
      <c r="L21" s="85"/>
      <c r="M21" s="85"/>
      <c r="N21" s="85"/>
      <c r="O21" s="85"/>
      <c r="P21" s="85"/>
      <c r="Q21" s="85"/>
      <c r="R21" s="85"/>
      <c r="S21" s="86"/>
      <c r="T21" s="84"/>
      <c r="U21" s="85"/>
      <c r="V21" s="86"/>
      <c r="W21" s="84"/>
      <c r="X21" s="85"/>
      <c r="Y21" s="86"/>
      <c r="Z21" s="99"/>
      <c r="AA21" s="101"/>
      <c r="AB21" s="99"/>
      <c r="AC21" s="100"/>
      <c r="AD21" s="100"/>
      <c r="AE21" s="100"/>
      <c r="AF21" s="100"/>
      <c r="AG21" s="101"/>
    </row>
    <row r="22" spans="1:33" s="68" customFormat="1" x14ac:dyDescent="0.25">
      <c r="A22" s="38">
        <v>2018</v>
      </c>
      <c r="B22" s="53"/>
      <c r="C22" s="84"/>
      <c r="D22" s="85"/>
      <c r="E22" s="86"/>
      <c r="F22" s="71"/>
      <c r="G22" s="71"/>
      <c r="H22" s="84"/>
      <c r="I22" s="85"/>
      <c r="J22" s="86"/>
      <c r="K22" s="84"/>
      <c r="L22" s="85"/>
      <c r="M22" s="85"/>
      <c r="N22" s="85"/>
      <c r="O22" s="85"/>
      <c r="P22" s="85"/>
      <c r="Q22" s="85"/>
      <c r="R22" s="85"/>
      <c r="S22" s="86"/>
      <c r="T22" s="84"/>
      <c r="U22" s="85"/>
      <c r="V22" s="86"/>
      <c r="W22" s="84"/>
      <c r="X22" s="85"/>
      <c r="Y22" s="86"/>
      <c r="Z22" s="99"/>
      <c r="AA22" s="101"/>
      <c r="AB22" s="99"/>
      <c r="AC22" s="100"/>
      <c r="AD22" s="100"/>
      <c r="AE22" s="100"/>
      <c r="AF22" s="100"/>
      <c r="AG22" s="101"/>
    </row>
    <row r="23" spans="1:33" s="68" customFormat="1" x14ac:dyDescent="0.25">
      <c r="A23" s="38">
        <v>2019</v>
      </c>
      <c r="B23" s="53"/>
      <c r="C23" s="84"/>
      <c r="D23" s="85"/>
      <c r="E23" s="86"/>
      <c r="F23" s="71"/>
      <c r="G23" s="71"/>
      <c r="H23" s="84"/>
      <c r="I23" s="85"/>
      <c r="J23" s="86"/>
      <c r="K23" s="84"/>
      <c r="L23" s="85"/>
      <c r="M23" s="85"/>
      <c r="N23" s="85"/>
      <c r="O23" s="85"/>
      <c r="P23" s="85"/>
      <c r="Q23" s="85"/>
      <c r="R23" s="85"/>
      <c r="S23" s="86"/>
      <c r="T23" s="84"/>
      <c r="U23" s="85"/>
      <c r="V23" s="86"/>
      <c r="W23" s="84"/>
      <c r="X23" s="85"/>
      <c r="Y23" s="86"/>
      <c r="Z23" s="99"/>
      <c r="AA23" s="101"/>
      <c r="AB23" s="99"/>
      <c r="AC23" s="100"/>
      <c r="AD23" s="100"/>
      <c r="AE23" s="100"/>
      <c r="AF23" s="100"/>
      <c r="AG23" s="101"/>
    </row>
    <row r="24" spans="1:33" s="68" customFormat="1" x14ac:dyDescent="0.25">
      <c r="A24" s="72">
        <v>2020</v>
      </c>
      <c r="B24" s="70"/>
      <c r="C24" s="87"/>
      <c r="D24" s="88"/>
      <c r="E24" s="89"/>
      <c r="F24" s="73"/>
      <c r="G24" s="73"/>
      <c r="H24" s="87"/>
      <c r="I24" s="88"/>
      <c r="J24" s="89"/>
      <c r="K24" s="87"/>
      <c r="L24" s="88"/>
      <c r="M24" s="88"/>
      <c r="N24" s="88"/>
      <c r="O24" s="88"/>
      <c r="P24" s="88"/>
      <c r="Q24" s="88"/>
      <c r="R24" s="88"/>
      <c r="S24" s="89"/>
      <c r="T24" s="87"/>
      <c r="U24" s="88"/>
      <c r="V24" s="89"/>
      <c r="W24" s="87"/>
      <c r="X24" s="88"/>
      <c r="Y24" s="89"/>
      <c r="Z24" s="102"/>
      <c r="AA24" s="104"/>
      <c r="AB24" s="102"/>
      <c r="AC24" s="103"/>
      <c r="AD24" s="103"/>
      <c r="AE24" s="103"/>
      <c r="AF24" s="103"/>
      <c r="AG24" s="104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zoomScale="70" zoomScaleNormal="70" workbookViewId="0">
      <selection activeCell="F23" sqref="F23"/>
    </sheetView>
  </sheetViews>
  <sheetFormatPr defaultRowHeight="15" x14ac:dyDescent="0.25"/>
  <cols>
    <col min="1" max="1" width="9" style="53" bestFit="1" customWidth="1"/>
    <col min="2" max="2" width="11" style="69" bestFit="1" customWidth="1"/>
    <col min="3" max="16384" width="9.140625" style="52"/>
  </cols>
  <sheetData>
    <row r="1" spans="1:2" x14ac:dyDescent="0.25">
      <c r="A1" s="37" t="s">
        <v>93</v>
      </c>
      <c r="B1" s="37" t="s">
        <v>104</v>
      </c>
    </row>
    <row r="2" spans="1:2" x14ac:dyDescent="0.25">
      <c r="A2" s="38" t="s">
        <v>94</v>
      </c>
      <c r="B2" s="38"/>
    </row>
    <row r="3" spans="1:2" x14ac:dyDescent="0.25">
      <c r="A3" s="38" t="s">
        <v>95</v>
      </c>
      <c r="B3" s="38"/>
    </row>
    <row r="4" spans="1:2" s="68" customFormat="1" x14ac:dyDescent="0.25">
      <c r="A4" s="37">
        <v>2000</v>
      </c>
      <c r="B4" s="74"/>
    </row>
    <row r="5" spans="1:2" s="68" customFormat="1" x14ac:dyDescent="0.25">
      <c r="A5" s="38">
        <v>2001</v>
      </c>
      <c r="B5" s="71"/>
    </row>
    <row r="6" spans="1:2" s="68" customFormat="1" x14ac:dyDescent="0.25">
      <c r="A6" s="38">
        <v>2002</v>
      </c>
      <c r="B6" s="71"/>
    </row>
    <row r="7" spans="1:2" s="68" customFormat="1" x14ac:dyDescent="0.25">
      <c r="A7" s="38">
        <v>2003</v>
      </c>
      <c r="B7" s="71"/>
    </row>
    <row r="8" spans="1:2" s="68" customFormat="1" x14ac:dyDescent="0.25">
      <c r="A8" s="38">
        <v>2004</v>
      </c>
      <c r="B8" s="71"/>
    </row>
    <row r="9" spans="1:2" s="68" customFormat="1" x14ac:dyDescent="0.25">
      <c r="A9" s="38">
        <v>2005</v>
      </c>
      <c r="B9" s="71"/>
    </row>
    <row r="10" spans="1:2" s="68" customFormat="1" x14ac:dyDescent="0.25">
      <c r="A10" s="38">
        <v>2006</v>
      </c>
      <c r="B10" s="71"/>
    </row>
    <row r="11" spans="1:2" s="68" customFormat="1" x14ac:dyDescent="0.25">
      <c r="A11" s="38">
        <v>2007</v>
      </c>
      <c r="B11" s="71"/>
    </row>
    <row r="12" spans="1:2" s="68" customFormat="1" x14ac:dyDescent="0.25">
      <c r="A12" s="38">
        <v>2008</v>
      </c>
      <c r="B12" s="71"/>
    </row>
    <row r="13" spans="1:2" s="68" customFormat="1" x14ac:dyDescent="0.25">
      <c r="A13" s="38">
        <v>2009</v>
      </c>
      <c r="B13" s="71"/>
    </row>
    <row r="14" spans="1:2" s="68" customFormat="1" x14ac:dyDescent="0.25">
      <c r="A14" s="38">
        <v>2010</v>
      </c>
      <c r="B14" s="71"/>
    </row>
    <row r="15" spans="1:2" s="68" customFormat="1" x14ac:dyDescent="0.25">
      <c r="A15" s="38">
        <v>2011</v>
      </c>
      <c r="B15" s="71"/>
    </row>
    <row r="16" spans="1:2" s="68" customFormat="1" x14ac:dyDescent="0.25">
      <c r="A16" s="38">
        <v>2012</v>
      </c>
      <c r="B16" s="71"/>
    </row>
    <row r="17" spans="1:2" s="68" customFormat="1" x14ac:dyDescent="0.25">
      <c r="A17" s="38">
        <v>2013</v>
      </c>
      <c r="B17" s="71"/>
    </row>
    <row r="18" spans="1:2" s="68" customFormat="1" x14ac:dyDescent="0.25">
      <c r="A18" s="38">
        <v>2014</v>
      </c>
      <c r="B18" s="71"/>
    </row>
    <row r="19" spans="1:2" s="68" customFormat="1" x14ac:dyDescent="0.25">
      <c r="A19" s="38">
        <v>2015</v>
      </c>
      <c r="B19" s="71">
        <v>0</v>
      </c>
    </row>
    <row r="20" spans="1:2" s="68" customFormat="1" x14ac:dyDescent="0.25">
      <c r="A20" s="38">
        <v>2016</v>
      </c>
      <c r="B20" s="71"/>
    </row>
    <row r="21" spans="1:2" s="68" customFormat="1" x14ac:dyDescent="0.25">
      <c r="A21" s="38">
        <v>2017</v>
      </c>
      <c r="B21" s="71"/>
    </row>
    <row r="22" spans="1:2" s="68" customFormat="1" x14ac:dyDescent="0.25">
      <c r="A22" s="38">
        <v>2018</v>
      </c>
      <c r="B22" s="71"/>
    </row>
    <row r="23" spans="1:2" s="68" customFormat="1" x14ac:dyDescent="0.25">
      <c r="A23" s="38">
        <v>2019</v>
      </c>
      <c r="B23" s="71"/>
    </row>
    <row r="24" spans="1:2" s="68" customFormat="1" x14ac:dyDescent="0.25">
      <c r="A24" s="72">
        <v>2020</v>
      </c>
      <c r="B24" s="73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4"/>
  <sheetViews>
    <sheetView zoomScale="70" zoomScaleNormal="70" workbookViewId="0">
      <selection activeCell="O20" sqref="O20"/>
    </sheetView>
  </sheetViews>
  <sheetFormatPr defaultRowHeight="15" x14ac:dyDescent="0.25"/>
  <cols>
    <col min="1" max="1" width="9" style="53" bestFit="1" customWidth="1"/>
    <col min="2" max="2" width="14.7109375" style="69" bestFit="1" customWidth="1"/>
    <col min="3" max="4" width="14.42578125" style="69" bestFit="1" customWidth="1"/>
    <col min="5" max="7" width="15" style="69" bestFit="1" customWidth="1"/>
    <col min="8" max="8" width="14.7109375" style="69" bestFit="1" customWidth="1"/>
    <col min="9" max="9" width="14.42578125" style="69" bestFit="1" customWidth="1"/>
    <col min="10" max="10" width="14.140625" style="69" bestFit="1" customWidth="1"/>
    <col min="11" max="16384" width="9.140625" style="52"/>
  </cols>
  <sheetData>
    <row r="1" spans="1:10" x14ac:dyDescent="0.25">
      <c r="A1" s="37" t="s">
        <v>93</v>
      </c>
      <c r="B1" s="75" t="s">
        <v>78</v>
      </c>
      <c r="C1" s="76" t="s">
        <v>78</v>
      </c>
      <c r="D1" s="76" t="s">
        <v>78</v>
      </c>
      <c r="E1" s="76" t="s">
        <v>78</v>
      </c>
      <c r="F1" s="76" t="s">
        <v>78</v>
      </c>
      <c r="G1" s="76" t="s">
        <v>78</v>
      </c>
      <c r="H1" s="76" t="s">
        <v>78</v>
      </c>
      <c r="I1" s="76" t="s">
        <v>78</v>
      </c>
      <c r="J1" s="77" t="s">
        <v>78</v>
      </c>
    </row>
    <row r="2" spans="1:10" x14ac:dyDescent="0.25">
      <c r="A2" s="38" t="s">
        <v>94</v>
      </c>
      <c r="B2" s="78" t="s">
        <v>79</v>
      </c>
      <c r="C2" s="79" t="s">
        <v>79</v>
      </c>
      <c r="D2" s="79" t="s">
        <v>79</v>
      </c>
      <c r="E2" s="79" t="s">
        <v>80</v>
      </c>
      <c r="F2" s="79" t="s">
        <v>80</v>
      </c>
      <c r="G2" s="79" t="s">
        <v>80</v>
      </c>
      <c r="H2" s="79" t="s">
        <v>81</v>
      </c>
      <c r="I2" s="79" t="s">
        <v>81</v>
      </c>
      <c r="J2" s="80" t="s">
        <v>81</v>
      </c>
    </row>
    <row r="3" spans="1:10" x14ac:dyDescent="0.25">
      <c r="A3" s="38" t="s">
        <v>95</v>
      </c>
      <c r="B3" s="78" t="s">
        <v>82</v>
      </c>
      <c r="C3" s="79" t="s">
        <v>84</v>
      </c>
      <c r="D3" s="79" t="s">
        <v>83</v>
      </c>
      <c r="E3" s="79" t="s">
        <v>82</v>
      </c>
      <c r="F3" s="79" t="s">
        <v>84</v>
      </c>
      <c r="G3" s="79" t="s">
        <v>83</v>
      </c>
      <c r="H3" s="79" t="s">
        <v>82</v>
      </c>
      <c r="I3" s="79" t="s">
        <v>84</v>
      </c>
      <c r="J3" s="80" t="s">
        <v>83</v>
      </c>
    </row>
    <row r="4" spans="1:10" s="68" customFormat="1" x14ac:dyDescent="0.25">
      <c r="A4" s="37">
        <v>2000</v>
      </c>
      <c r="B4" s="81"/>
      <c r="C4" s="82"/>
      <c r="D4" s="82"/>
      <c r="E4" s="82"/>
      <c r="F4" s="82"/>
      <c r="G4" s="82"/>
      <c r="H4" s="82"/>
      <c r="I4" s="82"/>
      <c r="J4" s="83"/>
    </row>
    <row r="5" spans="1:10" s="68" customFormat="1" x14ac:dyDescent="0.25">
      <c r="A5" s="38">
        <v>2001</v>
      </c>
      <c r="B5" s="84"/>
      <c r="C5" s="85"/>
      <c r="D5" s="85"/>
      <c r="E5" s="85"/>
      <c r="F5" s="85"/>
      <c r="G5" s="85"/>
      <c r="H5" s="85"/>
      <c r="I5" s="85"/>
      <c r="J5" s="86"/>
    </row>
    <row r="6" spans="1:10" s="68" customFormat="1" x14ac:dyDescent="0.25">
      <c r="A6" s="38">
        <v>2002</v>
      </c>
      <c r="B6" s="84"/>
      <c r="C6" s="85"/>
      <c r="D6" s="85"/>
      <c r="E6" s="85"/>
      <c r="F6" s="85"/>
      <c r="G6" s="85"/>
      <c r="H6" s="85"/>
      <c r="I6" s="85"/>
      <c r="J6" s="86"/>
    </row>
    <row r="7" spans="1:10" s="68" customFormat="1" x14ac:dyDescent="0.25">
      <c r="A7" s="38">
        <v>2003</v>
      </c>
      <c r="B7" s="84"/>
      <c r="C7" s="85"/>
      <c r="D7" s="85"/>
      <c r="E7" s="85"/>
      <c r="F7" s="85"/>
      <c r="G7" s="85"/>
      <c r="H7" s="85"/>
      <c r="I7" s="85"/>
      <c r="J7" s="86"/>
    </row>
    <row r="8" spans="1:10" s="68" customFormat="1" x14ac:dyDescent="0.25">
      <c r="A8" s="38">
        <v>2004</v>
      </c>
      <c r="B8" s="84"/>
      <c r="C8" s="85"/>
      <c r="D8" s="85"/>
      <c r="E8" s="85"/>
      <c r="F8" s="85"/>
      <c r="G8" s="85"/>
      <c r="H8" s="85"/>
      <c r="I8" s="85"/>
      <c r="J8" s="86"/>
    </row>
    <row r="9" spans="1:10" s="68" customFormat="1" x14ac:dyDescent="0.25">
      <c r="A9" s="38">
        <v>2005</v>
      </c>
      <c r="B9" s="84"/>
      <c r="C9" s="85"/>
      <c r="D9" s="85"/>
      <c r="E9" s="85"/>
      <c r="F9" s="85"/>
      <c r="G9" s="85"/>
      <c r="H9" s="85"/>
      <c r="I9" s="85"/>
      <c r="J9" s="86"/>
    </row>
    <row r="10" spans="1:10" s="68" customFormat="1" x14ac:dyDescent="0.25">
      <c r="A10" s="38">
        <v>2006</v>
      </c>
      <c r="B10" s="84"/>
      <c r="C10" s="85"/>
      <c r="D10" s="85"/>
      <c r="E10" s="85"/>
      <c r="F10" s="85"/>
      <c r="G10" s="85"/>
      <c r="H10" s="85"/>
      <c r="I10" s="85"/>
      <c r="J10" s="86"/>
    </row>
    <row r="11" spans="1:10" s="68" customFormat="1" x14ac:dyDescent="0.25">
      <c r="A11" s="38">
        <v>2007</v>
      </c>
      <c r="B11" s="84"/>
      <c r="C11" s="85"/>
      <c r="D11" s="85"/>
      <c r="E11" s="85"/>
      <c r="F11" s="85"/>
      <c r="G11" s="85"/>
      <c r="H11" s="85"/>
      <c r="I11" s="85"/>
      <c r="J11" s="86"/>
    </row>
    <row r="12" spans="1:10" s="68" customFormat="1" x14ac:dyDescent="0.25">
      <c r="A12" s="38">
        <v>2008</v>
      </c>
      <c r="B12" s="84"/>
      <c r="C12" s="85"/>
      <c r="D12" s="85"/>
      <c r="E12" s="85"/>
      <c r="F12" s="85"/>
      <c r="G12" s="85"/>
      <c r="H12" s="85"/>
      <c r="I12" s="85"/>
      <c r="J12" s="86"/>
    </row>
    <row r="13" spans="1:10" s="68" customFormat="1" x14ac:dyDescent="0.25">
      <c r="A13" s="38">
        <v>2009</v>
      </c>
      <c r="B13" s="84"/>
      <c r="C13" s="85"/>
      <c r="D13" s="85"/>
      <c r="E13" s="85"/>
      <c r="F13" s="85"/>
      <c r="G13" s="85"/>
      <c r="H13" s="85"/>
      <c r="I13" s="85"/>
      <c r="J13" s="86"/>
    </row>
    <row r="14" spans="1:10" s="68" customFormat="1" x14ac:dyDescent="0.25">
      <c r="A14" s="38">
        <v>2010</v>
      </c>
      <c r="B14" s="84"/>
      <c r="C14" s="85"/>
      <c r="D14" s="85"/>
      <c r="E14" s="85"/>
      <c r="F14" s="85"/>
      <c r="G14" s="85"/>
      <c r="H14" s="85"/>
      <c r="I14" s="85"/>
      <c r="J14" s="86"/>
    </row>
    <row r="15" spans="1:10" s="68" customFormat="1" x14ac:dyDescent="0.25">
      <c r="A15" s="38">
        <v>2011</v>
      </c>
      <c r="B15" s="84"/>
      <c r="C15" s="85"/>
      <c r="D15" s="85"/>
      <c r="E15" s="85"/>
      <c r="F15" s="85"/>
      <c r="G15" s="85"/>
      <c r="H15" s="85"/>
      <c r="I15" s="85"/>
      <c r="J15" s="86"/>
    </row>
    <row r="16" spans="1:10" s="68" customFormat="1" x14ac:dyDescent="0.25">
      <c r="A16" s="38">
        <v>2012</v>
      </c>
      <c r="B16" s="84"/>
      <c r="C16" s="85"/>
      <c r="D16" s="85"/>
      <c r="E16" s="85"/>
      <c r="F16" s="85"/>
      <c r="G16" s="85"/>
      <c r="H16" s="85"/>
      <c r="I16" s="85"/>
      <c r="J16" s="86"/>
    </row>
    <row r="17" spans="1:10" s="68" customFormat="1" x14ac:dyDescent="0.25">
      <c r="A17" s="38">
        <v>2013</v>
      </c>
      <c r="B17" s="84"/>
      <c r="C17" s="85"/>
      <c r="D17" s="85"/>
      <c r="E17" s="85"/>
      <c r="F17" s="85"/>
      <c r="G17" s="85"/>
      <c r="H17" s="85"/>
      <c r="I17" s="85"/>
      <c r="J17" s="86"/>
    </row>
    <row r="18" spans="1:10" s="68" customFormat="1" x14ac:dyDescent="0.25">
      <c r="A18" s="38">
        <v>2014</v>
      </c>
      <c r="B18" s="84"/>
      <c r="C18" s="85"/>
      <c r="D18" s="85"/>
      <c r="E18" s="85"/>
      <c r="F18" s="85"/>
      <c r="G18" s="85"/>
      <c r="H18" s="85"/>
      <c r="I18" s="85"/>
      <c r="J18" s="86"/>
    </row>
    <row r="19" spans="1:10" s="68" customFormat="1" x14ac:dyDescent="0.25">
      <c r="A19" s="38">
        <v>2015</v>
      </c>
      <c r="B19" s="84">
        <v>2</v>
      </c>
      <c r="C19" s="85">
        <v>8</v>
      </c>
      <c r="D19" s="85">
        <v>20</v>
      </c>
      <c r="E19" s="85">
        <v>1</v>
      </c>
      <c r="F19" s="85">
        <v>8</v>
      </c>
      <c r="G19" s="85">
        <v>8</v>
      </c>
      <c r="H19" s="85">
        <v>0.5</v>
      </c>
      <c r="I19" s="85">
        <v>0.5</v>
      </c>
      <c r="J19" s="86">
        <v>0.5</v>
      </c>
    </row>
    <row r="20" spans="1:10" s="68" customFormat="1" x14ac:dyDescent="0.25">
      <c r="A20" s="38">
        <v>2016</v>
      </c>
      <c r="B20" s="84"/>
      <c r="C20" s="85"/>
      <c r="D20" s="85"/>
      <c r="E20" s="85"/>
      <c r="F20" s="85"/>
      <c r="G20" s="85"/>
      <c r="H20" s="85"/>
      <c r="I20" s="85"/>
      <c r="J20" s="86"/>
    </row>
    <row r="21" spans="1:10" s="68" customFormat="1" x14ac:dyDescent="0.25">
      <c r="A21" s="38">
        <v>2017</v>
      </c>
      <c r="B21" s="84"/>
      <c r="C21" s="85"/>
      <c r="D21" s="85"/>
      <c r="E21" s="85"/>
      <c r="F21" s="85"/>
      <c r="G21" s="85"/>
      <c r="H21" s="85"/>
      <c r="I21" s="85"/>
      <c r="J21" s="86"/>
    </row>
    <row r="22" spans="1:10" s="68" customFormat="1" x14ac:dyDescent="0.25">
      <c r="A22" s="38">
        <v>2018</v>
      </c>
      <c r="B22" s="84"/>
      <c r="C22" s="85"/>
      <c r="D22" s="85"/>
      <c r="E22" s="85"/>
      <c r="F22" s="85"/>
      <c r="G22" s="85"/>
      <c r="H22" s="85"/>
      <c r="I22" s="85"/>
      <c r="J22" s="86"/>
    </row>
    <row r="23" spans="1:10" s="68" customFormat="1" x14ac:dyDescent="0.25">
      <c r="A23" s="38">
        <v>2019</v>
      </c>
      <c r="B23" s="84"/>
      <c r="C23" s="85"/>
      <c r="D23" s="85"/>
      <c r="E23" s="85"/>
      <c r="F23" s="85"/>
      <c r="G23" s="85"/>
      <c r="H23" s="85"/>
      <c r="I23" s="85"/>
      <c r="J23" s="86"/>
    </row>
    <row r="24" spans="1:10" s="68" customFormat="1" x14ac:dyDescent="0.25">
      <c r="A24" s="72">
        <v>2020</v>
      </c>
      <c r="B24" s="87"/>
      <c r="C24" s="88"/>
      <c r="D24" s="88"/>
      <c r="E24" s="88"/>
      <c r="F24" s="88"/>
      <c r="G24" s="88"/>
      <c r="H24" s="88"/>
      <c r="I24" s="88"/>
      <c r="J24" s="89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pars</vt:lpstr>
      <vt:lpstr>data</vt:lpstr>
      <vt:lpstr>timepars</vt:lpstr>
      <vt:lpstr>scen_1</vt:lpstr>
      <vt:lpstr>scen_2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Tom Tidhar</cp:lastModifiedBy>
  <dcterms:created xsi:type="dcterms:W3CDTF">2017-03-22T09:22:15Z</dcterms:created>
  <dcterms:modified xsi:type="dcterms:W3CDTF">2019-12-16T05:42:10Z</dcterms:modified>
</cp:coreProperties>
</file>