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0730" windowHeight="9780" firstSheet="1" activeTab="7"/>
  </bookViews>
  <sheets>
    <sheet name="pars" sheetId="24" r:id="rId1"/>
    <sheet name="calibration" sheetId="29" r:id="rId2"/>
    <sheet name="data" sheetId="5" r:id="rId3"/>
    <sheet name="mixing" sheetId="27" r:id="rId4"/>
    <sheet name="timepars" sheetId="28" r:id="rId5"/>
    <sheet name="scen_1" sheetId="25" r:id="rId6"/>
    <sheet name="scen_2" sheetId="26" r:id="rId7"/>
    <sheet name="scen_3" sheetId="30" r:id="rId8"/>
    <sheet name="timepars_old" sheetId="20" r:id="rId9"/>
  </sheets>
  <calcPr calcId="162913"/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I2" i="5"/>
  <c r="H2" i="5"/>
  <c r="E20" i="28" l="1"/>
  <c r="E22" i="28"/>
  <c r="E23" i="28"/>
  <c r="E21" i="28"/>
  <c r="AG3" i="5"/>
  <c r="AG4" i="5" l="1"/>
  <c r="U14" i="5"/>
  <c r="C4" i="5" l="1"/>
  <c r="AG5" i="5"/>
  <c r="AG6" i="5" l="1"/>
  <c r="C5" i="5"/>
  <c r="B5" i="5" s="1"/>
  <c r="B4" i="5"/>
  <c r="AG7" i="5" l="1"/>
  <c r="C6" i="5"/>
  <c r="E20" i="24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l="1"/>
  <c r="D5" i="24" s="1"/>
  <c r="C4" i="24"/>
  <c r="C7" i="5"/>
  <c r="AG8" i="5"/>
  <c r="B6" i="5"/>
  <c r="C6" i="24"/>
  <c r="E19" i="24"/>
  <c r="E12" i="24"/>
  <c r="L4" i="20"/>
  <c r="E5" i="24" l="1"/>
  <c r="C8" i="5"/>
  <c r="AG9" i="5"/>
  <c r="B7" i="5"/>
  <c r="E4" i="24"/>
  <c r="D4" i="24"/>
  <c r="D6" i="24"/>
  <c r="E6" i="24"/>
  <c r="K4" i="20"/>
  <c r="AG10" i="5" l="1"/>
  <c r="C9" i="5"/>
  <c r="B8" i="5"/>
  <c r="AA13" i="5"/>
  <c r="AD13" i="5" s="1"/>
  <c r="AC13" i="5" s="1"/>
  <c r="AG11" i="5" l="1"/>
  <c r="C10" i="5"/>
  <c r="B9" i="5"/>
  <c r="R13" i="5"/>
  <c r="AG12" i="5" l="1"/>
  <c r="C11" i="5"/>
  <c r="B10" i="5"/>
  <c r="J7" i="24"/>
  <c r="AA12" i="5"/>
  <c r="C12" i="5" l="1"/>
  <c r="AG13" i="5"/>
  <c r="B11" i="5"/>
  <c r="AD12" i="5"/>
  <c r="AC12" i="5" s="1"/>
  <c r="AG14" i="5" l="1"/>
  <c r="C13" i="5"/>
  <c r="B13" i="5" s="1"/>
  <c r="I7" i="24" s="1"/>
  <c r="B12" i="5"/>
  <c r="U4" i="5"/>
  <c r="T4" i="5" s="1"/>
  <c r="U6" i="5"/>
  <c r="T6" i="5" s="1"/>
  <c r="V6" i="5" s="1"/>
  <c r="U5" i="5"/>
  <c r="T5" i="5" s="1"/>
  <c r="U3" i="5"/>
  <c r="W3" i="5" s="1"/>
  <c r="AA4" i="5"/>
  <c r="AD4" i="5" s="1"/>
  <c r="AA10" i="5"/>
  <c r="AD10" i="5" s="1"/>
  <c r="AA11" i="5"/>
  <c r="AD11" i="5" s="1"/>
  <c r="AA3" i="5"/>
  <c r="AD3" i="5" s="1"/>
  <c r="AA9" i="5"/>
  <c r="AD9" i="5" s="1"/>
  <c r="AA8" i="5"/>
  <c r="AD8" i="5" s="1"/>
  <c r="AA7" i="5"/>
  <c r="AD7" i="5" s="1"/>
  <c r="AA6" i="5"/>
  <c r="AD6" i="5" s="1"/>
  <c r="AA5" i="5"/>
  <c r="AD5" i="5" s="1"/>
  <c r="AG15" i="5" l="1"/>
  <c r="C15" i="5" s="1"/>
  <c r="B15" i="5" s="1"/>
  <c r="C14" i="5"/>
  <c r="B14" i="5" s="1"/>
  <c r="T3" i="5"/>
  <c r="V3" i="5" s="1"/>
  <c r="AC5" i="5"/>
  <c r="AC10" i="5"/>
  <c r="AC11" i="5"/>
  <c r="AC6" i="5"/>
  <c r="AC9" i="5"/>
  <c r="AC8" i="5"/>
  <c r="AC7" i="5"/>
  <c r="AC4" i="5"/>
  <c r="AC3" i="5"/>
  <c r="U7" i="5"/>
  <c r="W6" i="5"/>
  <c r="T7" i="5" l="1"/>
  <c r="V7" i="5" s="1"/>
  <c r="W7" i="5"/>
  <c r="U8" i="5"/>
  <c r="U9" i="5" l="1"/>
  <c r="W9" i="5" s="1"/>
  <c r="T8" i="5"/>
  <c r="V8" i="5" s="1"/>
  <c r="W8" i="5"/>
  <c r="T9" i="5" l="1"/>
  <c r="V9" i="5" s="1"/>
  <c r="U10" i="5"/>
  <c r="U11" i="5" l="1"/>
  <c r="T10" i="5"/>
  <c r="V10" i="5" s="1"/>
  <c r="W10" i="5"/>
  <c r="U12" i="5" l="1"/>
  <c r="U13" i="5"/>
  <c r="T11" i="5"/>
  <c r="V11" i="5" s="1"/>
  <c r="W11" i="5"/>
  <c r="T13" i="5" l="1"/>
  <c r="W13" i="5"/>
  <c r="T12" i="5"/>
  <c r="V12" i="5" s="1"/>
  <c r="W12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Michael Traeger</author>
    <author>Kathleen Ryan</author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C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census estiamte of male population in victoria aged 15-64 *0.018 as that is assume % of msm
then minus the number of PLHIV
note: census estiamtes at 5 years and avergae increase in between
census data:
2016:30713
2011:33375
2016:36315
</t>
        </r>
      </text>
    </comment>
    <comment ref="D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from 
https://internationaleducation.gov.au/research/DataVisualisations/Pages/Student-number.aspx
estimate is 50% of visas, 1.88% of visas msm
I think the numbers are too low though...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data for these 3 columns comes from DHHS data request. Restricted to HIV notifications among MSM and then splot by assumed medicare</t>
        </r>
      </text>
    </comment>
    <comment ref="N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
KR:
Have updated this to the number of men living with HIV in VIC according to DHHS PLHIV dataset. Not restricted to MSM, but can cut 10% to drop non-MSM if needed.
Will need to request the numbers officially from DHHS for publications? but dont need data request because aggregate needed only</t>
        </r>
      </text>
    </comment>
    <comment ref="O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Not sure how to do PLHIV split by medicare status because te status of people will change over time...</t>
        </r>
      </text>
    </comment>
    <comment ref="Q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R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T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U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V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X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Y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Z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AA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AB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AC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D1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AF2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estimate from 2006</t>
        </r>
      </text>
    </comment>
    <comment ref="Q8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Q9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AE1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S13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4" authorId="2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Medland https://doi.org/10.1186/s12879-018-3325-0
2016: ~3%, 2017:~7%
PRONTO! redcap: ~10% 
BUT this is among asian MSM attending for testing so lower in general pop. Incremental increase from 2% in 2016 to 9% in 2018?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X1" authorId="1" shapeId="0">
      <text>
        <r>
          <rPr>
            <b/>
            <sz val="9"/>
            <color indexed="81"/>
            <rFont val="Tahoma"/>
            <charset val="1"/>
          </rPr>
          <t>Kathleen Ryan:</t>
        </r>
        <r>
          <rPr>
            <sz val="9"/>
            <color indexed="81"/>
            <rFont val="Tahoma"/>
            <charset val="1"/>
          </rPr>
          <t xml:space="preserve">
source: https://research.treasury.gov.au/external-paper/shaping-a-nation/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N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B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  <comment ref="S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T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D18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for prep estimates ive used the total estimated to be covered in a month in the VicPrEP or PrEPX study +25% as ~25% reported previous use.
During PBS years I've just used estimate from PBS</t>
        </r>
      </text>
    </comment>
  </commentList>
</comments>
</file>

<file path=xl/comments4.xml><?xml version="1.0" encoding="utf-8"?>
<comments xmlns="http://schemas.openxmlformats.org/spreadsheetml/2006/main">
  <authors>
    <author>Tom Tidhar</author>
    <author>Kathleen Ryan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3" authorId="1" shapeId="0">
      <text>
        <r>
          <rPr>
            <b/>
            <sz val="9"/>
            <color indexed="81"/>
            <rFont val="Tahoma"/>
            <family val="2"/>
          </rPr>
          <t>Kathleen Ryan:</t>
        </r>
        <r>
          <rPr>
            <sz val="9"/>
            <color indexed="81"/>
            <rFont val="Tahoma"/>
            <family val="2"/>
          </rPr>
          <t xml:space="preserve">
Before PrEp was made available I have used the % of HIV -ve and untestedmen in GCPS thtat reported any CAI
After prEP was implemented I used the % of HIV -ve men not on PrEP from paper published by Holt - only 2 years provided in paper</t>
        </r>
      </text>
    </comment>
  </commentList>
</comments>
</file>

<file path=xl/comments5.xml><?xml version="1.0" encoding="utf-8"?>
<comments xmlns="http://schemas.openxmlformats.org/spreadsheetml/2006/main">
  <authors>
    <author>Tom Tidhar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</commentList>
</comments>
</file>

<file path=xl/comments6.xml><?xml version="1.0" encoding="utf-8"?>
<comments xmlns="http://schemas.openxmlformats.org/spreadsheetml/2006/main">
  <authors>
    <author>Tom Tidhar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the susceptible population that is at high risk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Number of people on PrEP. Seemed to make more sense than proportion of people on PrEP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condoms. This number doesn't actually matter because it gets absorbed into the force of infection. But its needed for a gel condom analysis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HIV tests (in years)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Effectiveness of each care stage in reducing infectiousness. The number of people in each infected compartment are multiplied by these values to get an overall relative proportion positive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Relative force of infection multiplier for each risk group 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A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Condom usage between risk groups. Might be set this to zero then absorb any relative risk into the relative_foi parameter</t>
        </r>
      </text>
    </comment>
    <comment ref="AF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This is the time (in years) in each undiagnosed group before people move on to the next one (if they don't get diagnosed). i.e. people spend 1 year in the "&lt;1 year since infection" group, then 2 years in the "1-3 years since infection" group, then stay in the "3+ years since infection" group until they get diagnosed</t>
        </r>
      </text>
    </comment>
    <comment ref="AG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Proportions of people changing to gel condoms. From the geldom analysis. Can just leave at 0.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within 1 year of infection</t>
        </r>
      </text>
    </comment>
    <comment ref="H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Time between tests for people infected over 3 years ago</t>
        </r>
      </text>
    </comment>
    <comment ref="M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diagnosed PLHIV who are on treatment</t>
        </r>
      </text>
    </comment>
    <comment ref="N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Proportion of PLHIV on treatment who are virally suppressed</t>
        </r>
      </text>
    </comment>
    <comment ref="T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  <comment ref="W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i.e. PrEP is 97% effective</t>
        </r>
      </text>
    </comment>
  </commentList>
</comments>
</file>

<file path=xl/sharedStrings.xml><?xml version="1.0" encoding="utf-8"?>
<sst xmlns="http://schemas.openxmlformats.org/spreadsheetml/2006/main" count="299" uniqueCount="148">
  <si>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</si>
  <si>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</si>
  <si>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</si>
  <si>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</si>
  <si>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</si>
  <si>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</si>
  <si>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</si>
  <si>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5% probability per year converted to rate</t>
  </si>
  <si>
    <t>dt</t>
  </si>
  <si>
    <t>mu</t>
  </si>
  <si>
    <t>extra_death_I</t>
  </si>
  <si>
    <t>extra_death_D</t>
  </si>
  <si>
    <t>Time step size</t>
  </si>
  <si>
    <t>growth</t>
  </si>
  <si>
    <t>All-cause mortality rate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</si>
  <si>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</si>
  <si>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</si>
  <si>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</si>
  <si>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</si>
  <si>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</si>
  <si>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</si>
  <si>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</si>
  <si>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eff_condom</t>
  </si>
  <si>
    <t>prop_prep_base</t>
  </si>
  <si>
    <t>Uncertainty</t>
  </si>
  <si>
    <t>mix1</t>
  </si>
  <si>
    <t>mix2</t>
  </si>
  <si>
    <t>mix3</t>
  </si>
  <si>
    <t>Mixing in HIV-, no prep</t>
  </si>
  <si>
    <t>Mixing in HIV-, prep</t>
  </si>
  <si>
    <t>Mixing in HIV+</t>
  </si>
  <si>
    <t>%male</t>
  </si>
  <si>
    <t>%of male MSM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</si>
  <si>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</si>
  <si>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</si>
  <si>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</si>
  <si>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</si>
  <si>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</si>
  <si>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</si>
  <si>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</si>
  <si>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</si>
  <si>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</si>
  <si>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</si>
  <si>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</si>
  <si>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</si>
  <si>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</si>
  <si>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</si>
  <si>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</si>
  <si>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</si>
  <si>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Proportion of Victorian Gon. Notifications attributable to PrEP users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</si>
  <si>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</si>
  <si>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</si>
  <si>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</si>
  <si>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</si>
  <si>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</si>
  <si>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</si>
  <si>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</si>
  <si>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</si>
  <si>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</si>
  <si>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</si>
  <si>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</si>
  <si>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</si>
  <si>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</si>
  <si>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</si>
  <si>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</si>
  <si>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</si>
  <si>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</si>
  <si>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</si>
  <si>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</si>
  <si>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</si>
  <si>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</si>
  <si>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</si>
  <si>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</si>
  <si>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</si>
  <si>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</si>
  <si>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</si>
  <si>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</si>
  <si>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</si>
  <si>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</si>
  <si>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</si>
  <si>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</si>
  <si>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</si>
  <si>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</si>
  <si>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</si>
  <si>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</si>
  <si>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</si>
  <si>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</si>
  <si>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</si>
  <si>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</si>
  <si>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</si>
  <si>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</si>
  <si>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test_wait</t>
  </si>
  <si>
    <t>relative_foi</t>
  </si>
  <si>
    <t>num_prep</t>
  </si>
  <si>
    <t>prop_high_risk</t>
  </si>
  <si>
    <t>medimix</t>
  </si>
  <si>
    <t>prop_medi</t>
  </si>
  <si>
    <t>aus</t>
  </si>
  <si>
    <t>int</t>
  </si>
  <si>
    <t>PLHIV_int</t>
  </si>
  <si>
    <t>PLHIV_tot</t>
  </si>
  <si>
    <t>PLHIV_aus</t>
  </si>
  <si>
    <t>pop_tot</t>
  </si>
  <si>
    <t>pop_aus</t>
  </si>
  <si>
    <t>pop_int</t>
  </si>
  <si>
    <t>prop_HIV_diagnosed</t>
  </si>
  <si>
    <t>`</t>
  </si>
  <si>
    <t>lo_aus</t>
  </si>
  <si>
    <t>hi_aus</t>
  </si>
  <si>
    <t>pr_aus</t>
  </si>
  <si>
    <t>lo_int</t>
  </si>
  <si>
    <t>hi_int</t>
  </si>
  <si>
    <t>pr_int</t>
  </si>
  <si>
    <t>e.g. the first row represents the weighting with which low risk people who are medicare eligible interact with other groups.
i.e. all 1's means that a low risk medicare eligible person is mixing uniformly with everyone</t>
  </si>
  <si>
    <t>eff_prep</t>
  </si>
  <si>
    <t>census</t>
  </si>
  <si>
    <t xml:space="preserve">census avg </t>
  </si>
  <si>
    <t>HIV_diag_tot_all</t>
  </si>
  <si>
    <t>HIV_diag_aus_all</t>
  </si>
  <si>
    <t>HIV_diag_int_all</t>
  </si>
  <si>
    <t>HIV_diag_new_aus</t>
  </si>
  <si>
    <t>HIV_diag_old_aus</t>
  </si>
  <si>
    <t>HIV_diag_new_int</t>
  </si>
  <si>
    <t>HIV_diag_old_int</t>
  </si>
  <si>
    <t>lo_new</t>
  </si>
  <si>
    <t>lo_old</t>
  </si>
  <si>
    <t>hi_new</t>
  </si>
  <si>
    <t>hi_old</t>
  </si>
  <si>
    <t>pr_new</t>
  </si>
  <si>
    <t>pr_old</t>
  </si>
  <si>
    <t>ineligibility_duration</t>
  </si>
  <si>
    <t>proportion_stay</t>
  </si>
  <si>
    <t>years each person is in model</t>
  </si>
  <si>
    <t>HIV_diag_new_tot</t>
  </si>
  <si>
    <t>HIV_diag_old_tot</t>
  </si>
  <si>
    <t>bes</t>
  </si>
  <si>
    <t>lbs</t>
  </si>
  <si>
    <t>ubs</t>
  </si>
  <si>
    <t>f_infect_HIV</t>
  </si>
  <si>
    <t>int_factor</t>
  </si>
  <si>
    <t>high_risk_factor</t>
  </si>
  <si>
    <t>init_diag_prop</t>
  </si>
  <si>
    <t>init_prev_HIV_aus</t>
  </si>
  <si>
    <t>init_prev_HIV_int</t>
  </si>
  <si>
    <t>init_late_prop</t>
  </si>
  <si>
    <t>init_pop_aus</t>
  </si>
  <si>
    <t>annual_pop_growth</t>
  </si>
  <si>
    <t>init_pop_int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</si>
</sst>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00"/>
    <numFmt numFmtId="166" formatCode="0.00000"/>
    <numFmt numFmtId="167" formatCode="0.0%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7FFD5"/>
        <bgColor indexed="64"/>
      </patternFill>
    </fill>
  </fills>
  <borders count="5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dotted">
        <color auto="1"/>
      </right>
      <top/>
      <bottom style="thin">
        <color indexed="64"/>
      </bottom>
      <diagonal/>
    </border>
    <border>
      <left style="dotted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dotted">
        <color auto="1"/>
      </right>
      <top/>
      <bottom style="thin">
        <color indexed="64"/>
      </bottom>
      <diagonal/>
    </border>
    <border>
      <left/>
      <right style="dotted">
        <color auto="1"/>
      </right>
      <top/>
      <bottom/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3" fillId="5" borderId="0" applyNumberFormat="0" applyFont="0" applyBorder="0" applyAlignment="0" applyProtection="0"/>
    <xf numFmtId="0" fontId="14" fillId="4" borderId="0" applyNumberFormat="0" applyFont="0" applyBorder="0" applyAlignment="0" applyProtection="0"/>
    <xf numFmtId="0" fontId="15" fillId="2" borderId="0" applyNumberFormat="0" applyFont="0" applyBorder="0" applyAlignment="0" applyProtection="0"/>
  </cellStyleXfs>
  <cellXfs count="226">
    <xf numFmtId="0" fontId="0" fillId="0" borderId="0" xfId="0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7" fillId="0" borderId="0" xfId="0" applyFont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1" fontId="7" fillId="0" borderId="0" xfId="0" applyNumberFormat="1" applyFont="1" applyAlignment="1">
      <alignment horizontal="right" vertical="center"/>
    </xf>
    <xf numFmtId="0" fontId="11" fillId="0" borderId="0" xfId="0" applyFont="1"/>
    <xf numFmtId="0" fontId="10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6" fontId="0" fillId="0" borderId="0" xfId="0" applyNumberFormat="1" applyFill="1"/>
    <xf numFmtId="2" fontId="0" fillId="0" borderId="0" xfId="0" applyNumberFormat="1" applyFill="1"/>
    <xf numFmtId="165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5" fontId="0" fillId="3" borderId="1" xfId="0" applyNumberFormat="1" applyFill="1" applyBorder="1"/>
    <xf numFmtId="1" fontId="7" fillId="4" borderId="0" xfId="0" applyNumberFormat="1" applyFont="1" applyFill="1" applyAlignment="1">
      <alignment horizontal="right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7" fillId="2" borderId="0" xfId="0" applyNumberFormat="1" applyFont="1" applyFill="1" applyAlignment="1">
      <alignment horizontal="right" vertical="center"/>
    </xf>
    <xf numFmtId="1" fontId="10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2" fillId="4" borderId="0" xfId="0" applyNumberFormat="1" applyFont="1" applyFill="1"/>
    <xf numFmtId="9" fontId="7" fillId="4" borderId="0" xfId="13" applyFont="1" applyFill="1" applyAlignment="1">
      <alignment horizontal="right" vertical="center"/>
    </xf>
    <xf numFmtId="1" fontId="0" fillId="4" borderId="0" xfId="0" applyNumberFormat="1" applyFill="1"/>
    <xf numFmtId="166" fontId="0" fillId="0" borderId="1" xfId="0" applyNumberFormat="1" applyFill="1" applyBorder="1"/>
    <xf numFmtId="167" fontId="7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9" fontId="0" fillId="6" borderId="0" xfId="0" applyNumberFormat="1" applyFill="1"/>
    <xf numFmtId="0" fontId="0" fillId="0" borderId="0" xfId="0"/>
    <xf numFmtId="0" fontId="0" fillId="0" borderId="1" xfId="0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0" fontId="0" fillId="0" borderId="3" xfId="0" applyBorder="1"/>
    <xf numFmtId="2" fontId="0" fillId="0" borderId="8" xfId="0" applyNumberFormat="1" applyBorder="1"/>
    <xf numFmtId="0" fontId="0" fillId="0" borderId="9" xfId="0" applyBorder="1"/>
    <xf numFmtId="2" fontId="0" fillId="0" borderId="9" xfId="0" applyNumberFormat="1" applyBorder="1"/>
    <xf numFmtId="2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2" fontId="0" fillId="7" borderId="10" xfId="0" applyNumberFormat="1" applyFill="1" applyBorder="1"/>
    <xf numFmtId="2" fontId="0" fillId="7" borderId="11" xfId="0" applyNumberFormat="1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0" fontId="0" fillId="7" borderId="19" xfId="0" applyFill="1" applyBorder="1"/>
    <xf numFmtId="0" fontId="0" fillId="7" borderId="0" xfId="0" applyFill="1" applyBorder="1"/>
    <xf numFmtId="2" fontId="0" fillId="7" borderId="19" xfId="0" applyNumberFormat="1" applyFill="1" applyBorder="1"/>
    <xf numFmtId="2" fontId="0" fillId="7" borderId="0" xfId="0" applyNumberFormat="1" applyFill="1" applyBorder="1"/>
    <xf numFmtId="2" fontId="0" fillId="7" borderId="2" xfId="0" applyNumberFormat="1" applyFill="1" applyBorder="1"/>
    <xf numFmtId="0" fontId="7" fillId="0" borderId="26" xfId="0" applyFont="1" applyBorder="1" applyAlignment="1">
      <alignment horizontal="right" vertical="center"/>
    </xf>
    <xf numFmtId="0" fontId="7" fillId="0" borderId="27" xfId="0" applyFont="1" applyBorder="1" applyAlignment="1">
      <alignment horizontal="right" vertical="center"/>
    </xf>
    <xf numFmtId="0" fontId="0" fillId="0" borderId="28" xfId="0" applyBorder="1"/>
    <xf numFmtId="1" fontId="7" fillId="0" borderId="26" xfId="0" applyNumberFormat="1" applyFont="1" applyFill="1" applyBorder="1" applyAlignment="1">
      <alignment horizontal="right" vertical="center"/>
    </xf>
    <xf numFmtId="1" fontId="7" fillId="0" borderId="27" xfId="0" applyNumberFormat="1" applyFont="1" applyFill="1" applyBorder="1" applyAlignment="1">
      <alignment horizontal="right" vertical="center"/>
    </xf>
    <xf numFmtId="1" fontId="7" fillId="0" borderId="28" xfId="0" applyNumberFormat="1" applyFont="1" applyFill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0" fontId="7" fillId="0" borderId="31" xfId="0" applyFont="1" applyBorder="1" applyAlignment="1">
      <alignment vertical="center"/>
    </xf>
    <xf numFmtId="0" fontId="7" fillId="0" borderId="29" xfId="0" applyFont="1" applyBorder="1" applyAlignment="1">
      <alignment horizontal="left" vertical="center"/>
    </xf>
    <xf numFmtId="0" fontId="7" fillId="0" borderId="30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10" fillId="6" borderId="2" xfId="0" applyFont="1" applyFill="1" applyBorder="1" applyAlignment="1">
      <alignment vertical="center"/>
    </xf>
    <xf numFmtId="0" fontId="0" fillId="0" borderId="2" xfId="0" applyBorder="1"/>
    <xf numFmtId="0" fontId="7" fillId="0" borderId="26" xfId="0" applyFont="1" applyFill="1" applyBorder="1" applyAlignment="1">
      <alignment horizontal="right" vertical="center"/>
    </xf>
    <xf numFmtId="0" fontId="7" fillId="0" borderId="0" xfId="0" applyFont="1" applyFill="1" applyAlignment="1">
      <alignment horizontal="right" vertical="center"/>
    </xf>
    <xf numFmtId="0" fontId="7" fillId="0" borderId="27" xfId="0" applyFont="1" applyFill="1" applyBorder="1" applyAlignment="1">
      <alignment horizontal="right" vertical="center"/>
    </xf>
    <xf numFmtId="0" fontId="7" fillId="0" borderId="28" xfId="0" applyFont="1" applyFill="1" applyBorder="1" applyAlignment="1">
      <alignment horizontal="right" vertical="center"/>
    </xf>
    <xf numFmtId="2" fontId="7" fillId="0" borderId="0" xfId="0" applyNumberFormat="1" applyFont="1" applyFill="1" applyAlignment="1">
      <alignment horizontal="right" vertical="center"/>
    </xf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3" borderId="34" xfId="0" applyFill="1" applyBorder="1"/>
    <xf numFmtId="0" fontId="0" fillId="3" borderId="40" xfId="0" applyFill="1" applyBorder="1"/>
    <xf numFmtId="0" fontId="16" fillId="3" borderId="41" xfId="0" applyFont="1" applyFill="1" applyBorder="1"/>
    <xf numFmtId="0" fontId="16" fillId="3" borderId="42" xfId="0" applyFont="1" applyFill="1" applyBorder="1"/>
    <xf numFmtId="0" fontId="16" fillId="3" borderId="43" xfId="0" applyFont="1" applyFill="1" applyBorder="1"/>
    <xf numFmtId="0" fontId="16" fillId="3" borderId="38" xfId="0" applyFont="1" applyFill="1" applyBorder="1"/>
    <xf numFmtId="0" fontId="16" fillId="3" borderId="46" xfId="0" applyFont="1" applyFill="1" applyBorder="1"/>
    <xf numFmtId="0" fontId="7" fillId="0" borderId="9" xfId="0" applyFont="1" applyBorder="1" applyAlignment="1">
      <alignment vertical="center"/>
    </xf>
    <xf numFmtId="0" fontId="7" fillId="2" borderId="8" xfId="0" applyFont="1" applyFill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7" fillId="0" borderId="8" xfId="0" applyFont="1" applyFill="1" applyBorder="1" applyAlignment="1">
      <alignment horizontal="right" vertical="center"/>
    </xf>
    <xf numFmtId="0" fontId="0" fillId="7" borderId="20" xfId="0" applyFill="1" applyBorder="1"/>
    <xf numFmtId="0" fontId="0" fillId="7" borderId="23" xfId="0" applyFill="1" applyBorder="1"/>
    <xf numFmtId="0" fontId="0" fillId="7" borderId="21" xfId="0" applyFill="1" applyBorder="1"/>
    <xf numFmtId="0" fontId="0" fillId="7" borderId="24" xfId="0" applyFill="1" applyBorder="1"/>
    <xf numFmtId="2" fontId="0" fillId="7" borderId="20" xfId="0" applyNumberFormat="1" applyFill="1" applyBorder="1"/>
    <xf numFmtId="2" fontId="0" fillId="7" borderId="23" xfId="0" applyNumberFormat="1" applyFill="1" applyBorder="1"/>
    <xf numFmtId="2" fontId="0" fillId="7" borderId="21" xfId="0" applyNumberFormat="1" applyFill="1" applyBorder="1"/>
    <xf numFmtId="2" fontId="0" fillId="7" borderId="24" xfId="0" applyNumberFormat="1" applyFill="1" applyBorder="1"/>
    <xf numFmtId="2" fontId="0" fillId="7" borderId="22" xfId="0" applyNumberFormat="1" applyFill="1" applyBorder="1"/>
    <xf numFmtId="2" fontId="0" fillId="7" borderId="25" xfId="0" applyNumberFormat="1" applyFill="1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2" fontId="0" fillId="0" borderId="48" xfId="0" applyNumberFormat="1" applyBorder="1"/>
    <xf numFmtId="2" fontId="0" fillId="0" borderId="49" xfId="0" applyNumberFormat="1" applyBorder="1"/>
    <xf numFmtId="2" fontId="0" fillId="0" borderId="50" xfId="0" applyNumberFormat="1" applyBorder="1"/>
    <xf numFmtId="2" fontId="0" fillId="0" borderId="51" xfId="0" applyNumberFormat="1" applyBorder="1"/>
    <xf numFmtId="2" fontId="0" fillId="0" borderId="52" xfId="0" applyNumberFormat="1" applyBorder="1"/>
    <xf numFmtId="2" fontId="0" fillId="0" borderId="53" xfId="0" applyNumberFormat="1" applyBorder="1"/>
    <xf numFmtId="0" fontId="0" fillId="7" borderId="48" xfId="0" applyFill="1" applyBorder="1"/>
    <xf numFmtId="0" fontId="0" fillId="7" borderId="49" xfId="0" applyFill="1" applyBorder="1"/>
    <xf numFmtId="0" fontId="0" fillId="7" borderId="50" xfId="0" applyFill="1" applyBorder="1"/>
    <xf numFmtId="0" fontId="0" fillId="7" borderId="51" xfId="0" applyFill="1" applyBorder="1"/>
    <xf numFmtId="2" fontId="0" fillId="7" borderId="48" xfId="0" applyNumberFormat="1" applyFill="1" applyBorder="1"/>
    <xf numFmtId="2" fontId="0" fillId="7" borderId="49" xfId="0" applyNumberFormat="1" applyFill="1" applyBorder="1"/>
    <xf numFmtId="2" fontId="0" fillId="7" borderId="50" xfId="0" applyNumberFormat="1" applyFill="1" applyBorder="1"/>
    <xf numFmtId="2" fontId="0" fillId="7" borderId="51" xfId="0" applyNumberFormat="1" applyFill="1" applyBorder="1"/>
    <xf numFmtId="2" fontId="0" fillId="7" borderId="52" xfId="0" applyNumberFormat="1" applyFill="1" applyBorder="1"/>
    <xf numFmtId="2" fontId="0" fillId="7" borderId="53" xfId="0" applyNumberFormat="1" applyFill="1" applyBorder="1"/>
    <xf numFmtId="1" fontId="7" fillId="8" borderId="28" xfId="0" applyNumberFormat="1" applyFont="1" applyFill="1" applyBorder="1" applyAlignment="1">
      <alignment horizontal="right" vertical="center"/>
    </xf>
    <xf numFmtId="1" fontId="7" fillId="8" borderId="0" xfId="0" applyNumberFormat="1" applyFont="1" applyFill="1" applyAlignment="1">
      <alignment horizontal="right" vertical="center"/>
    </xf>
    <xf numFmtId="0" fontId="7" fillId="8" borderId="26" xfId="0" applyFont="1" applyFill="1" applyBorder="1" applyAlignment="1">
      <alignment horizontal="right" vertical="center"/>
    </xf>
    <xf numFmtId="0" fontId="7" fillId="8" borderId="27" xfId="0" applyFont="1" applyFill="1" applyBorder="1" applyAlignment="1">
      <alignment horizontal="right" vertical="center"/>
    </xf>
    <xf numFmtId="0" fontId="0" fillId="8" borderId="28" xfId="0" applyFill="1" applyBorder="1"/>
    <xf numFmtId="0" fontId="7" fillId="8" borderId="28" xfId="0" applyFont="1" applyFill="1" applyBorder="1" applyAlignment="1">
      <alignment horizontal="right" vertical="center"/>
    </xf>
    <xf numFmtId="1" fontId="7" fillId="8" borderId="26" xfId="0" applyNumberFormat="1" applyFont="1" applyFill="1" applyBorder="1" applyAlignment="1">
      <alignment horizontal="right" vertical="center"/>
    </xf>
    <xf numFmtId="2" fontId="0" fillId="8" borderId="8" xfId="0" applyNumberFormat="1" applyFill="1" applyBorder="1"/>
    <xf numFmtId="0" fontId="0" fillId="8" borderId="1" xfId="0" applyFill="1" applyBorder="1"/>
    <xf numFmtId="2" fontId="0" fillId="8" borderId="0" xfId="0" applyNumberFormat="1" applyFill="1"/>
    <xf numFmtId="1" fontId="7" fillId="8" borderId="27" xfId="0" applyNumberFormat="1" applyFont="1" applyFill="1" applyBorder="1" applyAlignment="1">
      <alignment horizontal="right" vertical="center"/>
    </xf>
    <xf numFmtId="2" fontId="0" fillId="8" borderId="13" xfId="0" applyNumberFormat="1" applyFill="1" applyBorder="1"/>
    <xf numFmtId="2" fontId="0" fillId="8" borderId="50" xfId="0" applyNumberFormat="1" applyFill="1" applyBorder="1"/>
    <xf numFmtId="2" fontId="0" fillId="8" borderId="51" xfId="0" applyNumberFormat="1" applyFill="1" applyBorder="1"/>
    <xf numFmtId="0" fontId="7" fillId="0" borderId="54" xfId="0" applyFont="1" applyBorder="1" applyAlignment="1">
      <alignment vertical="center"/>
    </xf>
    <xf numFmtId="1" fontId="7" fillId="0" borderId="55" xfId="0" applyNumberFormat="1" applyFont="1" applyBorder="1" applyAlignment="1">
      <alignment horizontal="right" vertical="center"/>
    </xf>
    <xf numFmtId="1" fontId="7" fillId="0" borderId="55" xfId="0" applyNumberFormat="1" applyFont="1" applyFill="1" applyBorder="1" applyAlignment="1">
      <alignment horizontal="right" vertical="center"/>
    </xf>
    <xf numFmtId="0" fontId="7" fillId="0" borderId="0" xfId="0" applyFont="1" applyBorder="1" applyAlignment="1">
      <alignment horizontal="left" vertical="center"/>
    </xf>
    <xf numFmtId="0" fontId="7" fillId="0" borderId="26" xfId="0" applyFont="1" applyBorder="1" applyAlignment="1">
      <alignment vertical="center"/>
    </xf>
    <xf numFmtId="0" fontId="7" fillId="0" borderId="27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0" fontId="7" fillId="0" borderId="26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0" fillId="6" borderId="0" xfId="0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right" vertical="center"/>
    </xf>
    <xf numFmtId="1" fontId="7" fillId="8" borderId="27" xfId="0" applyNumberFormat="1" applyFont="1" applyFill="1" applyBorder="1" applyAlignment="1">
      <alignment vertical="center"/>
    </xf>
    <xf numFmtId="0" fontId="0" fillId="0" borderId="27" xfId="0" applyBorder="1"/>
    <xf numFmtId="0" fontId="0" fillId="0" borderId="27" xfId="0" applyFill="1" applyBorder="1"/>
    <xf numFmtId="0" fontId="0" fillId="0" borderId="28" xfId="0" applyFill="1" applyBorder="1"/>
    <xf numFmtId="0" fontId="0" fillId="0" borderId="0" xfId="0" applyFill="1" applyAlignment="1">
      <alignment horizontal="right"/>
    </xf>
    <xf numFmtId="2" fontId="0" fillId="0" borderId="51" xfId="0" applyNumberFormat="1" applyFill="1" applyBorder="1"/>
    <xf numFmtId="2" fontId="0" fillId="0" borderId="15" xfId="0" applyNumberFormat="1" applyFill="1" applyBorder="1"/>
    <xf numFmtId="2" fontId="0" fillId="0" borderId="50" xfId="0" applyNumberFormat="1" applyFill="1" applyBorder="1"/>
    <xf numFmtId="0" fontId="0" fillId="0" borderId="16" xfId="0" applyBorder="1"/>
    <xf numFmtId="0" fontId="0" fillId="0" borderId="52" xfId="0" applyBorder="1"/>
    <xf numFmtId="0" fontId="0" fillId="0" borderId="53" xfId="0" applyBorder="1"/>
    <xf numFmtId="0" fontId="0" fillId="0" borderId="18" xfId="0" applyBorder="1"/>
    <xf numFmtId="0" fontId="0" fillId="8" borderId="27" xfId="0" applyFill="1" applyBorder="1"/>
    <xf numFmtId="0" fontId="7" fillId="0" borderId="28" xfId="0" applyFont="1" applyBorder="1" applyAlignment="1">
      <alignment horizontal="right" vertical="center"/>
    </xf>
    <xf numFmtId="0" fontId="19" fillId="0" borderId="28" xfId="0" applyFont="1" applyBorder="1" applyAlignment="1">
      <alignment horizontal="right"/>
    </xf>
    <xf numFmtId="0" fontId="20" fillId="0" borderId="26" xfId="0" applyFont="1" applyBorder="1" applyAlignment="1">
      <alignment horizontal="right"/>
    </xf>
    <xf numFmtId="0" fontId="19" fillId="0" borderId="26" xfId="0" applyFont="1" applyBorder="1" applyAlignment="1">
      <alignment horizontal="right"/>
    </xf>
    <xf numFmtId="2" fontId="0" fillId="8" borderId="1" xfId="0" applyNumberFormat="1" applyFill="1" applyBorder="1"/>
    <xf numFmtId="2" fontId="0" fillId="0" borderId="1" xfId="0" applyNumberFormat="1" applyBorder="1"/>
    <xf numFmtId="0" fontId="7" fillId="0" borderId="0" xfId="0" applyFont="1" applyBorder="1" applyAlignment="1">
      <alignment horizontal="right" vertical="center"/>
    </xf>
    <xf numFmtId="0" fontId="0" fillId="0" borderId="0" xfId="0" applyAlignment="1">
      <alignment horizontal="left" vertical="top" wrapText="1"/>
    </xf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colors>
    <mruColors>
      <color rgb="FFD7FF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9"/>
  <sheetViews>
    <sheetView zoomScale="85" zoomScaleNormal="85" workbookViewId="0">
      <selection activeCell="C3" sqref="C3"/>
    </sheetView>
  </sheetViews>
  <sheetFormatPr defaultColWidth="8.85546875" defaultRowHeight="15" x14ac:dyDescent="0.25"/>
  <cols>
    <col min="1" max="1" width="49.28515625" style="8" bestFit="1" customWidth="1"/>
    <col min="2" max="2" width="17.85546875" style="6" bestFit="1" customWidth="1"/>
    <col min="3" max="3" width="12.5703125" style="44" bestFit="1" customWidth="1"/>
    <col min="4" max="4" width="11.42578125" style="43" customWidth="1"/>
    <col min="5" max="5" width="11.42578125" style="4" customWidth="1"/>
    <col min="6" max="6" width="11.42578125" style="43" customWidth="1"/>
    <col min="7" max="7" width="28.7109375" style="43" customWidth="1"/>
    <col min="8" max="8" width="8.85546875" style="43"/>
    <col min="9" max="9" width="11.5703125" style="43" bestFit="1" customWidth="1"/>
    <col min="10" max="11" width="8.85546875" style="43"/>
    <col min="12" max="12" width="10.85546875" style="43" customWidth="1"/>
    <col min="13" max="13" width="10.42578125" style="43" bestFit="1" customWidth="1"/>
    <col min="14" max="16384" width="8.85546875" style="43"/>
  </cols>
  <sheetData>
    <row r="1" spans="1:13" s="1" customFormat="1" ht="30" x14ac:dyDescent="0.25">
      <c r="A1" s="7" t="s">
        <v>0</v>
      </c>
      <c r="B1" s="5"/>
      <c r="C1" s="2" t="s">
        <v>1</v>
      </c>
      <c r="D1" s="1" t="s">
        <v>2</v>
      </c>
      <c r="E1" s="3" t="s">
        <v>3</v>
      </c>
      <c r="F1" s="1" t="s">
        <v>4</v>
      </c>
      <c r="G1" s="1" t="s">
        <v>5</v>
      </c>
      <c r="I1" s="1" t="s">
        <v>24</v>
      </c>
      <c r="L1" s="1" t="s">
        <v>41</v>
      </c>
    </row>
    <row r="2" spans="1:13" x14ac:dyDescent="0.25">
      <c r="A2" s="8" t="s">
        <v>12</v>
      </c>
      <c r="B2" s="6" t="s">
        <v>8</v>
      </c>
      <c r="C2" s="27">
        <f>1/12</f>
        <v>8.3333333333333329E-2</v>
      </c>
      <c r="D2" s="16"/>
      <c r="E2" s="17"/>
      <c r="I2" s="9">
        <v>0.05</v>
      </c>
      <c r="L2" s="50"/>
      <c r="M2" s="43" t="s">
        <v>42</v>
      </c>
    </row>
    <row r="3" spans="1:13" x14ac:dyDescent="0.25">
      <c r="A3" s="8" t="s">
        <v>45</v>
      </c>
      <c r="B3" s="6" t="s">
        <v>13</v>
      </c>
      <c r="C3" s="41">
        <v>4.0741237836483535E-3</v>
      </c>
      <c r="D3" s="18">
        <f t="shared" ref="D3:D8" si="0">C3-$I$2*C3</f>
        <v>3.8704175944659358E-3</v>
      </c>
      <c r="E3" s="18">
        <f t="shared" ref="E3:E8" si="1">C3+$I$2*C3</f>
        <v>4.2778299728307712E-3</v>
      </c>
      <c r="L3" s="52"/>
      <c r="M3" s="43" t="s">
        <v>43</v>
      </c>
    </row>
    <row r="4" spans="1:13" x14ac:dyDescent="0.25">
      <c r="A4" s="8" t="s">
        <v>14</v>
      </c>
      <c r="B4" s="6" t="s">
        <v>9</v>
      </c>
      <c r="C4" s="47">
        <f>1 - EXP(-$C$2 / $H$8)</f>
        <v>1.8501382321644E-3</v>
      </c>
      <c r="D4" s="19">
        <f t="shared" si="0"/>
        <v>1.7576313205561801E-3</v>
      </c>
      <c r="E4" s="16">
        <f t="shared" si="1"/>
        <v>1.9426451437726199E-3</v>
      </c>
      <c r="L4" s="48"/>
      <c r="M4" s="43" t="s">
        <v>46</v>
      </c>
    </row>
    <row r="5" spans="1:13" x14ac:dyDescent="0.25">
      <c r="A5" s="8" t="s">
        <v>15</v>
      </c>
      <c r="B5" s="6" t="s">
        <v>10</v>
      </c>
      <c r="C5" s="45">
        <f>0.001*12*C2</f>
        <v>1E-3</v>
      </c>
      <c r="D5" s="16">
        <f t="shared" si="0"/>
        <v>9.5E-4</v>
      </c>
      <c r="E5" s="16">
        <f t="shared" si="1"/>
        <v>1.0499999999999999E-3</v>
      </c>
      <c r="L5" s="22"/>
      <c r="M5" s="43" t="s">
        <v>44</v>
      </c>
    </row>
    <row r="6" spans="1:13" x14ac:dyDescent="0.25">
      <c r="A6" s="8" t="s">
        <v>16</v>
      </c>
      <c r="B6" s="6" t="s">
        <v>11</v>
      </c>
      <c r="C6" s="46">
        <f>0.001*12*C2</f>
        <v>1E-3</v>
      </c>
      <c r="D6" s="16">
        <f t="shared" si="0"/>
        <v>9.5E-4</v>
      </c>
      <c r="E6" s="16">
        <f t="shared" si="1"/>
        <v>1.0499999999999999E-3</v>
      </c>
      <c r="G6" s="43" t="s">
        <v>7</v>
      </c>
      <c r="J6" s="43">
        <f>(1+C3)^(12*(2040-2007))</f>
        <v>5.0031885420339695</v>
      </c>
      <c r="L6" s="58"/>
      <c r="M6" s="43" t="s">
        <v>68</v>
      </c>
    </row>
    <row r="7" spans="1:13" ht="18.75" customHeight="1" x14ac:dyDescent="0.25">
      <c r="A7" s="24" t="s">
        <v>18</v>
      </c>
      <c r="B7" s="25" t="s">
        <v>17</v>
      </c>
      <c r="C7" s="23">
        <v>7.5</v>
      </c>
      <c r="D7" s="20">
        <f t="shared" si="0"/>
        <v>7.125</v>
      </c>
      <c r="E7" s="20">
        <f t="shared" si="1"/>
        <v>7.875</v>
      </c>
      <c r="G7" s="43" t="s">
        <v>6</v>
      </c>
      <c r="I7" s="39" t="e">
        <f>((data!B13/data!B3) ^ (C2/((data!A13-data!A3))) - 1)</f>
        <v>#DIV/0!</v>
      </c>
      <c r="J7" s="43" t="e">
        <f>(data!B8-data!B3)/(data!A8-data!A3)/data!B3*C2</f>
        <v>#DIV/0!</v>
      </c>
    </row>
    <row r="8" spans="1:13" ht="18.75" customHeight="1" x14ac:dyDescent="0.25">
      <c r="A8" s="24" t="s">
        <v>20</v>
      </c>
      <c r="B8" s="25" t="s">
        <v>19</v>
      </c>
      <c r="C8" s="23">
        <v>0.13</v>
      </c>
      <c r="D8" s="18">
        <f t="shared" si="0"/>
        <v>0.1235</v>
      </c>
      <c r="E8" s="18">
        <f t="shared" si="1"/>
        <v>0.13650000000000001</v>
      </c>
      <c r="G8" s="43" t="s">
        <v>132</v>
      </c>
      <c r="H8" s="43">
        <v>45</v>
      </c>
      <c r="J8" s="43" t="s">
        <v>106</v>
      </c>
    </row>
    <row r="9" spans="1:13" ht="17.25" customHeight="1" x14ac:dyDescent="0.25">
      <c r="A9" s="8" t="s">
        <v>64</v>
      </c>
      <c r="B9" s="6" t="s">
        <v>67</v>
      </c>
      <c r="C9" s="23">
        <v>0.4</v>
      </c>
      <c r="D9" s="20">
        <f t="shared" ref="D9:D10" si="2">C9-$I$2*C9</f>
        <v>0.38</v>
      </c>
      <c r="E9" s="20">
        <f t="shared" ref="E9:E10" si="3">C9+$I$2*C9</f>
        <v>0.42000000000000004</v>
      </c>
    </row>
    <row r="10" spans="1:13" ht="17.25" customHeight="1" x14ac:dyDescent="0.25">
      <c r="A10" s="8" t="s">
        <v>65</v>
      </c>
      <c r="B10" s="6" t="s">
        <v>66</v>
      </c>
      <c r="C10" s="23">
        <v>0.4</v>
      </c>
      <c r="D10" s="20">
        <f t="shared" si="2"/>
        <v>0.38</v>
      </c>
      <c r="E10" s="20">
        <f t="shared" si="3"/>
        <v>0.42000000000000004</v>
      </c>
    </row>
    <row r="11" spans="1:13" x14ac:dyDescent="0.25">
      <c r="A11" s="8" t="s">
        <v>40</v>
      </c>
      <c r="B11" s="6" t="s">
        <v>23</v>
      </c>
      <c r="C11" s="57">
        <v>0</v>
      </c>
      <c r="D11" s="20"/>
      <c r="E11" s="20"/>
    </row>
    <row r="12" spans="1:13" x14ac:dyDescent="0.25">
      <c r="A12" s="8" t="s">
        <v>37</v>
      </c>
      <c r="B12" s="6" t="s">
        <v>33</v>
      </c>
      <c r="C12" s="53">
        <f>6.2</f>
        <v>6.2</v>
      </c>
      <c r="D12" s="20">
        <f t="shared" ref="D12:D20" si="4">C12-$I$2*C12</f>
        <v>5.8900000000000006</v>
      </c>
      <c r="E12" s="20">
        <f t="shared" ref="E12:E20" si="5">C12+$I$2*C12</f>
        <v>6.51</v>
      </c>
    </row>
    <row r="13" spans="1:13" x14ac:dyDescent="0.25">
      <c r="A13" s="8" t="s">
        <v>38</v>
      </c>
      <c r="B13" s="6" t="s">
        <v>34</v>
      </c>
      <c r="C13" s="23">
        <v>7</v>
      </c>
      <c r="D13" s="20">
        <f t="shared" si="4"/>
        <v>6.65</v>
      </c>
      <c r="E13" s="20">
        <f t="shared" si="5"/>
        <v>7.35</v>
      </c>
    </row>
    <row r="14" spans="1:13" x14ac:dyDescent="0.25">
      <c r="A14" s="8" t="s">
        <v>28</v>
      </c>
      <c r="B14" s="6" t="s">
        <v>25</v>
      </c>
      <c r="C14" s="45">
        <v>0.1</v>
      </c>
      <c r="D14" s="21">
        <f t="shared" si="4"/>
        <v>9.5000000000000001E-2</v>
      </c>
      <c r="E14" s="21">
        <f t="shared" si="5"/>
        <v>0.10500000000000001</v>
      </c>
    </row>
    <row r="15" spans="1:13" x14ac:dyDescent="0.25">
      <c r="A15" s="8" t="s">
        <v>29</v>
      </c>
      <c r="B15" s="6" t="s">
        <v>26</v>
      </c>
      <c r="C15" s="45">
        <v>0.17</v>
      </c>
      <c r="D15" s="21">
        <f t="shared" si="4"/>
        <v>0.1615</v>
      </c>
      <c r="E15" s="21">
        <f t="shared" si="5"/>
        <v>0.17850000000000002</v>
      </c>
    </row>
    <row r="16" spans="1:13" x14ac:dyDescent="0.25">
      <c r="A16" s="8" t="s">
        <v>30</v>
      </c>
      <c r="B16" s="6" t="s">
        <v>27</v>
      </c>
      <c r="C16" s="54">
        <v>0.38800000000000001</v>
      </c>
      <c r="D16" s="21">
        <f t="shared" si="4"/>
        <v>0.36860000000000004</v>
      </c>
      <c r="E16" s="21">
        <f t="shared" si="5"/>
        <v>0.40739999999999998</v>
      </c>
    </row>
    <row r="17" spans="1:5" x14ac:dyDescent="0.25">
      <c r="A17" s="8" t="s">
        <v>47</v>
      </c>
      <c r="B17" s="6" t="s">
        <v>35</v>
      </c>
      <c r="C17" s="55">
        <v>0.45</v>
      </c>
      <c r="D17" s="20">
        <f t="shared" si="4"/>
        <v>0.42749999999999999</v>
      </c>
      <c r="E17" s="20">
        <f t="shared" si="5"/>
        <v>0.47250000000000003</v>
      </c>
    </row>
    <row r="18" spans="1:5" x14ac:dyDescent="0.25">
      <c r="A18" s="8" t="s">
        <v>39</v>
      </c>
      <c r="B18" s="6" t="s">
        <v>36</v>
      </c>
      <c r="C18" s="26">
        <v>1</v>
      </c>
      <c r="D18" s="20">
        <f t="shared" si="4"/>
        <v>0.95</v>
      </c>
      <c r="E18" s="20">
        <f t="shared" si="5"/>
        <v>1.05</v>
      </c>
    </row>
    <row r="19" spans="1:5" ht="30" x14ac:dyDescent="0.25">
      <c r="A19" s="8" t="s">
        <v>61</v>
      </c>
      <c r="B19" s="6" t="s">
        <v>60</v>
      </c>
      <c r="C19" s="51">
        <f>1-C17</f>
        <v>0.55000000000000004</v>
      </c>
      <c r="D19" s="20">
        <f t="shared" si="4"/>
        <v>0.52250000000000008</v>
      </c>
      <c r="E19" s="20">
        <f t="shared" si="5"/>
        <v>0.57750000000000001</v>
      </c>
    </row>
    <row r="20" spans="1:5" x14ac:dyDescent="0.25">
      <c r="A20" s="8" t="s">
        <v>63</v>
      </c>
      <c r="B20" s="6" t="s">
        <v>62</v>
      </c>
      <c r="C20" s="49">
        <v>0.5</v>
      </c>
      <c r="D20" s="20">
        <f t="shared" si="4"/>
        <v>0.47499999999999998</v>
      </c>
      <c r="E20" s="20">
        <f t="shared" si="5"/>
        <v>0.52500000000000002</v>
      </c>
    </row>
    <row r="21" spans="1:5" x14ac:dyDescent="0.25">
      <c r="A21" s="8" t="s">
        <v>88</v>
      </c>
      <c r="B21" s="8" t="s">
        <v>86</v>
      </c>
      <c r="C21" s="44">
        <v>2007</v>
      </c>
    </row>
    <row r="22" spans="1:5" x14ac:dyDescent="0.25">
      <c r="A22" s="8" t="s">
        <v>89</v>
      </c>
      <c r="B22" s="8" t="s">
        <v>87</v>
      </c>
      <c r="C22" s="44">
        <v>42714</v>
      </c>
    </row>
    <row r="29" spans="1:5" x14ac:dyDescent="0.25">
      <c r="B29" s="56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E15" sqref="E15"/>
    </sheetView>
  </sheetViews>
  <sheetFormatPr defaultRowHeight="15" x14ac:dyDescent="0.25"/>
  <cols>
    <col min="1" max="1" width="17.42578125" bestFit="1" customWidth="1"/>
    <col min="2" max="4" width="9.140625" customWidth="1"/>
  </cols>
  <sheetData>
    <row r="1" spans="1:4" x14ac:dyDescent="0.25">
      <c r="A1" s="43"/>
      <c r="B1" s="43" t="s">
        <v>136</v>
      </c>
      <c r="C1" s="43" t="s">
        <v>135</v>
      </c>
      <c r="D1" s="43" t="s">
        <v>137</v>
      </c>
    </row>
    <row r="2" spans="1:4" x14ac:dyDescent="0.25">
      <c r="A2" s="43" t="s">
        <v>138</v>
      </c>
      <c r="B2" s="59">
        <v>0</v>
      </c>
      <c r="C2" s="59">
        <v>2.5755000000000002E-6</v>
      </c>
      <c r="D2" s="59">
        <v>1.0000000000000001E-5</v>
      </c>
    </row>
    <row r="3" spans="1:4" x14ac:dyDescent="0.25">
      <c r="A3" s="43" t="s">
        <v>139</v>
      </c>
      <c r="B3" s="59">
        <v>1</v>
      </c>
      <c r="C3" s="59">
        <v>1.2</v>
      </c>
      <c r="D3" s="59">
        <v>10</v>
      </c>
    </row>
    <row r="4" spans="1:4" x14ac:dyDescent="0.25">
      <c r="A4" s="43" t="s">
        <v>140</v>
      </c>
      <c r="B4" s="59">
        <v>1</v>
      </c>
      <c r="C4" s="59">
        <v>2</v>
      </c>
      <c r="D4" s="59">
        <v>4</v>
      </c>
    </row>
    <row r="5" spans="1:4" x14ac:dyDescent="0.25">
      <c r="A5" s="43" t="s">
        <v>141</v>
      </c>
      <c r="B5" s="59">
        <v>0</v>
      </c>
      <c r="C5" s="59">
        <v>0.6</v>
      </c>
      <c r="D5" s="59">
        <v>0.9</v>
      </c>
    </row>
    <row r="6" spans="1:4" x14ac:dyDescent="0.25">
      <c r="A6" s="43" t="s">
        <v>142</v>
      </c>
      <c r="B6" s="59">
        <v>0</v>
      </c>
      <c r="C6" s="59">
        <v>0.09</v>
      </c>
      <c r="D6" s="59">
        <v>0.12</v>
      </c>
    </row>
    <row r="7" spans="1:4" x14ac:dyDescent="0.25">
      <c r="A7" s="43" t="s">
        <v>143</v>
      </c>
      <c r="B7" s="59">
        <v>0</v>
      </c>
      <c r="C7" s="59">
        <v>7.0000000000000007E-2</v>
      </c>
      <c r="D7" s="59">
        <v>0.3</v>
      </c>
    </row>
    <row r="8" spans="1:4" x14ac:dyDescent="0.25">
      <c r="A8" s="43" t="s">
        <v>144</v>
      </c>
      <c r="B8" s="59">
        <v>0</v>
      </c>
      <c r="C8" s="59">
        <v>0.5</v>
      </c>
      <c r="D8" s="59">
        <v>1</v>
      </c>
    </row>
    <row r="9" spans="1:4" x14ac:dyDescent="0.25">
      <c r="A9" s="43" t="s">
        <v>145</v>
      </c>
      <c r="B9" s="59">
        <v>1</v>
      </c>
      <c r="C9" s="59">
        <v>40000</v>
      </c>
      <c r="D9" s="59">
        <v>90000</v>
      </c>
    </row>
    <row r="10" spans="1:4" x14ac:dyDescent="0.25">
      <c r="A10" t="s">
        <v>147</v>
      </c>
      <c r="B10" s="59">
        <v>0</v>
      </c>
      <c r="C10" s="59">
        <v>1000</v>
      </c>
      <c r="D10" s="59"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5"/>
  <sheetViews>
    <sheetView zoomScaleNormal="100" workbookViewId="0">
      <pane xSplit="1" topLeftCell="B1" activePane="topRight" state="frozen"/>
      <selection pane="topRight" activeCell="H25" sqref="H25"/>
    </sheetView>
  </sheetViews>
  <sheetFormatPr defaultColWidth="8.85546875" defaultRowHeight="15" x14ac:dyDescent="0.25"/>
  <cols>
    <col min="1" max="1" width="5" style="15" bestFit="1" customWidth="1"/>
    <col min="2" max="2" width="10.28515625" bestFit="1" customWidth="1"/>
    <col min="3" max="4" width="10.28515625" style="43" customWidth="1"/>
    <col min="5" max="5" width="15.7109375" style="15" bestFit="1" customWidth="1"/>
    <col min="6" max="6" width="16.140625" style="15" bestFit="1" customWidth="1"/>
    <col min="7" max="7" width="15.5703125" bestFit="1" customWidth="1"/>
    <col min="8" max="8" width="17.5703125" style="43" bestFit="1" customWidth="1"/>
    <col min="9" max="9" width="16.42578125" style="43" bestFit="1" customWidth="1"/>
    <col min="10" max="10" width="19.85546875" style="15" bestFit="1" customWidth="1"/>
    <col min="11" max="11" width="17.5703125" style="15" bestFit="1" customWidth="1"/>
    <col min="12" max="12" width="19.28515625" style="43" bestFit="1" customWidth="1"/>
    <col min="13" max="13" width="16.85546875" style="43" bestFit="1" customWidth="1"/>
    <col min="14" max="14" width="11" bestFit="1" customWidth="1"/>
    <col min="15" max="16" width="11" style="43" customWidth="1"/>
    <col min="17" max="17" width="19.7109375" bestFit="1" customWidth="1"/>
    <col min="18" max="18" width="17.28515625" customWidth="1"/>
    <col min="19" max="19" width="14.28515625" bestFit="1" customWidth="1"/>
    <col min="20" max="20" width="9.7109375" bestFit="1" customWidth="1"/>
    <col min="21" max="21" width="10" bestFit="1" customWidth="1"/>
    <col min="22" max="22" width="14.85546875" bestFit="1" customWidth="1"/>
    <col min="23" max="23" width="15.140625" bestFit="1" customWidth="1"/>
    <col min="24" max="24" width="19.85546875" bestFit="1" customWidth="1"/>
    <col min="25" max="25" width="7" bestFit="1" customWidth="1"/>
    <col min="26" max="26" width="14.28515625" bestFit="1" customWidth="1"/>
    <col min="27" max="27" width="14.7109375" bestFit="1" customWidth="1"/>
    <col min="28" max="28" width="36.85546875" bestFit="1" customWidth="1"/>
    <col min="29" max="29" width="19.140625" bestFit="1" customWidth="1"/>
    <col min="30" max="30" width="19.42578125" bestFit="1" customWidth="1"/>
    <col min="31" max="31" width="62.28515625" bestFit="1" customWidth="1"/>
    <col min="32" max="32" width="17.42578125" bestFit="1" customWidth="1"/>
  </cols>
  <sheetData>
    <row r="1" spans="1:33" s="115" customFormat="1" x14ac:dyDescent="0.25">
      <c r="A1" s="107" t="s">
        <v>21</v>
      </c>
      <c r="B1" s="108" t="s">
        <v>102</v>
      </c>
      <c r="C1" s="109" t="s">
        <v>103</v>
      </c>
      <c r="D1" s="110" t="s">
        <v>104</v>
      </c>
      <c r="E1" s="111" t="s">
        <v>117</v>
      </c>
      <c r="F1" s="112" t="s">
        <v>118</v>
      </c>
      <c r="G1" s="110" t="s">
        <v>119</v>
      </c>
      <c r="H1" s="113" t="s">
        <v>133</v>
      </c>
      <c r="I1" s="113" t="s">
        <v>134</v>
      </c>
      <c r="J1" s="111" t="s">
        <v>120</v>
      </c>
      <c r="K1" s="112" t="s">
        <v>121</v>
      </c>
      <c r="L1" s="109" t="s">
        <v>122</v>
      </c>
      <c r="M1" s="110" t="s">
        <v>123</v>
      </c>
      <c r="N1" s="108" t="s">
        <v>100</v>
      </c>
      <c r="O1" s="109" t="s">
        <v>101</v>
      </c>
      <c r="P1" s="110" t="s">
        <v>99</v>
      </c>
      <c r="Q1" s="144" t="s">
        <v>105</v>
      </c>
      <c r="R1" s="113" t="s">
        <v>59</v>
      </c>
      <c r="S1" s="113" t="s">
        <v>50</v>
      </c>
      <c r="T1" s="113" t="s">
        <v>51</v>
      </c>
      <c r="U1" s="113" t="s">
        <v>52</v>
      </c>
      <c r="V1" s="113" t="s">
        <v>53</v>
      </c>
      <c r="W1" s="113" t="s">
        <v>54</v>
      </c>
      <c r="X1" s="113" t="s">
        <v>56</v>
      </c>
      <c r="Y1" s="113" t="s">
        <v>31</v>
      </c>
      <c r="Z1" s="113" t="s">
        <v>32</v>
      </c>
      <c r="AA1" s="113" t="s">
        <v>55</v>
      </c>
      <c r="AB1" s="113" t="s">
        <v>48</v>
      </c>
      <c r="AC1" s="113" t="s">
        <v>57</v>
      </c>
      <c r="AD1" s="113" t="s">
        <v>58</v>
      </c>
      <c r="AE1" s="114" t="s">
        <v>49</v>
      </c>
      <c r="AF1" s="192" t="s">
        <v>115</v>
      </c>
      <c r="AG1" s="192" t="s">
        <v>116</v>
      </c>
    </row>
    <row r="2" spans="1:33" s="60" customFormat="1" x14ac:dyDescent="0.25">
      <c r="A2" s="195">
        <v>2006</v>
      </c>
      <c r="B2" s="196"/>
      <c r="C2" s="205"/>
      <c r="D2" s="198"/>
      <c r="E2" s="101">
        <v>199</v>
      </c>
      <c r="F2" s="102">
        <v>186</v>
      </c>
      <c r="G2" s="218">
        <v>13</v>
      </c>
      <c r="H2" s="224">
        <f>J2+L2</f>
        <v>87</v>
      </c>
      <c r="I2" s="224">
        <f>K2+M2</f>
        <v>112</v>
      </c>
      <c r="J2" s="199">
        <v>81</v>
      </c>
      <c r="K2" s="200">
        <v>105</v>
      </c>
      <c r="L2" s="197">
        <v>6</v>
      </c>
      <c r="M2" s="198">
        <v>7</v>
      </c>
      <c r="N2" s="196"/>
      <c r="O2" s="197"/>
      <c r="P2" s="198"/>
      <c r="Q2" s="201"/>
      <c r="R2" s="202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3"/>
      <c r="AF2" s="188">
        <v>30713</v>
      </c>
      <c r="AG2" s="188">
        <v>30713</v>
      </c>
    </row>
    <row r="3" spans="1:33" x14ac:dyDescent="0.25">
      <c r="A3" s="10">
        <v>2007</v>
      </c>
      <c r="B3" s="184"/>
      <c r="C3" s="205"/>
      <c r="D3" s="178"/>
      <c r="E3" s="101">
        <v>184</v>
      </c>
      <c r="F3" s="102">
        <v>167</v>
      </c>
      <c r="G3" s="219">
        <v>17</v>
      </c>
      <c r="H3" s="224">
        <f t="shared" ref="H3:H14" si="0">J3+L3</f>
        <v>76</v>
      </c>
      <c r="I3" s="224">
        <f t="shared" ref="I3:I14" si="1">K3+M3</f>
        <v>108</v>
      </c>
      <c r="J3" s="101">
        <v>69</v>
      </c>
      <c r="K3" s="102">
        <v>98</v>
      </c>
      <c r="L3" s="206">
        <v>7</v>
      </c>
      <c r="M3" s="103">
        <v>10</v>
      </c>
      <c r="N3" s="104"/>
      <c r="O3" s="105"/>
      <c r="P3" s="106"/>
      <c r="Q3" s="145">
        <v>0.7</v>
      </c>
      <c r="R3" s="40">
        <v>2.32876712328767E-2</v>
      </c>
      <c r="S3" s="40">
        <v>3.4931506849315071E-2</v>
      </c>
      <c r="T3" s="28">
        <f t="shared" ref="T3:T13" si="2">B3-U3</f>
        <v>0</v>
      </c>
      <c r="U3" s="28">
        <f t="shared" ref="U3:U14" si="3">N3</f>
        <v>0</v>
      </c>
      <c r="V3" s="33">
        <f>ROUND(R3*T3,0)</f>
        <v>0</v>
      </c>
      <c r="W3" s="33">
        <f t="shared" ref="W3" si="4">ROUND(S3*U3,0)</f>
        <v>0</v>
      </c>
      <c r="X3" s="11">
        <v>1007</v>
      </c>
      <c r="Y3" s="37">
        <v>0.81</v>
      </c>
      <c r="Z3" s="37">
        <v>0.82</v>
      </c>
      <c r="AA3" s="38">
        <f>X3*Y3*Z3</f>
        <v>668.84940000000006</v>
      </c>
      <c r="AB3" s="34">
        <v>0.17</v>
      </c>
      <c r="AC3" s="36">
        <f>AA3-AD3</f>
        <v>555.14500200000009</v>
      </c>
      <c r="AD3" s="36">
        <f>AA3*AB3</f>
        <v>113.70439800000001</v>
      </c>
      <c r="AE3" s="13"/>
      <c r="AF3" s="194"/>
      <c r="AG3" s="204">
        <f>AG2+532.4</f>
        <v>31245.4</v>
      </c>
    </row>
    <row r="4" spans="1:33" x14ac:dyDescent="0.25">
      <c r="A4" s="10">
        <v>2008</v>
      </c>
      <c r="B4" s="184">
        <f>SUM(C4:D4)</f>
        <v>31777.800000000003</v>
      </c>
      <c r="C4" s="205">
        <f t="shared" ref="C4:C15" si="5">AG4-(D4+N4)</f>
        <v>31777.800000000003</v>
      </c>
      <c r="D4" s="178"/>
      <c r="E4" s="221">
        <v>181</v>
      </c>
      <c r="F4" s="102">
        <v>165</v>
      </c>
      <c r="G4" s="219">
        <v>16</v>
      </c>
      <c r="H4" s="224">
        <f t="shared" si="0"/>
        <v>79</v>
      </c>
      <c r="I4" s="224">
        <f t="shared" si="1"/>
        <v>102</v>
      </c>
      <c r="J4" s="101">
        <v>71</v>
      </c>
      <c r="K4" s="102">
        <v>94</v>
      </c>
      <c r="L4" s="206">
        <v>8</v>
      </c>
      <c r="M4" s="103">
        <v>8</v>
      </c>
      <c r="N4" s="184"/>
      <c r="O4" s="188"/>
      <c r="P4" s="178"/>
      <c r="Q4" s="146"/>
      <c r="R4" s="40"/>
      <c r="S4" s="40"/>
      <c r="T4" s="28">
        <f t="shared" si="2"/>
        <v>31777.800000000003</v>
      </c>
      <c r="U4" s="28">
        <f t="shared" si="3"/>
        <v>0</v>
      </c>
      <c r="V4" s="12"/>
      <c r="W4" s="12"/>
      <c r="X4" s="11">
        <v>922</v>
      </c>
      <c r="Y4" s="37">
        <v>0.81</v>
      </c>
      <c r="Z4" s="37">
        <v>0.82</v>
      </c>
      <c r="AA4" s="38">
        <f t="shared" ref="AA4:AA13" si="6">X4*Y4*Z4</f>
        <v>612.39239999999995</v>
      </c>
      <c r="AB4" s="34">
        <v>0.17</v>
      </c>
      <c r="AC4" s="36">
        <f t="shared" ref="AC4:AC13" si="7">AA4-AD4</f>
        <v>508.28569199999993</v>
      </c>
      <c r="AD4" s="36">
        <f t="shared" ref="AD4:AD13" si="8">AA4*AB4</f>
        <v>104.106708</v>
      </c>
      <c r="AE4" s="13"/>
      <c r="AF4" s="194"/>
      <c r="AG4" s="204">
        <f t="shared" ref="AG4:AG7" si="9">AG3+532.4</f>
        <v>31777.800000000003</v>
      </c>
    </row>
    <row r="5" spans="1:33" x14ac:dyDescent="0.25">
      <c r="A5" s="10">
        <v>2009</v>
      </c>
      <c r="B5" s="184">
        <f t="shared" ref="B5:B15" si="10">SUM(C5:D5)</f>
        <v>32310.200000000004</v>
      </c>
      <c r="C5" s="205">
        <f t="shared" si="5"/>
        <v>32310.200000000004</v>
      </c>
      <c r="D5" s="178"/>
      <c r="E5" s="220">
        <v>197</v>
      </c>
      <c r="F5" s="102">
        <v>183</v>
      </c>
      <c r="G5" s="219">
        <v>14</v>
      </c>
      <c r="H5" s="224">
        <f t="shared" si="0"/>
        <v>92</v>
      </c>
      <c r="I5" s="224">
        <f t="shared" si="1"/>
        <v>105</v>
      </c>
      <c r="J5" s="101">
        <v>85</v>
      </c>
      <c r="K5" s="102">
        <v>98</v>
      </c>
      <c r="L5" s="206">
        <v>7</v>
      </c>
      <c r="M5" s="103">
        <v>7</v>
      </c>
      <c r="N5" s="184"/>
      <c r="O5" s="188"/>
      <c r="P5" s="178"/>
      <c r="Q5" s="146"/>
      <c r="R5" s="40"/>
      <c r="S5" s="40"/>
      <c r="T5" s="28">
        <f t="shared" si="2"/>
        <v>32310.200000000004</v>
      </c>
      <c r="U5" s="28">
        <f t="shared" si="3"/>
        <v>0</v>
      </c>
      <c r="V5" s="12"/>
      <c r="W5" s="12"/>
      <c r="X5" s="11">
        <v>1480</v>
      </c>
      <c r="Y5" s="37">
        <v>0.81</v>
      </c>
      <c r="Z5" s="37">
        <v>0.82</v>
      </c>
      <c r="AA5" s="38">
        <f t="shared" si="6"/>
        <v>983.01600000000008</v>
      </c>
      <c r="AB5" s="34">
        <v>0.17</v>
      </c>
      <c r="AC5" s="36">
        <f t="shared" si="7"/>
        <v>815.90328</v>
      </c>
      <c r="AD5" s="36">
        <f t="shared" si="8"/>
        <v>167.11272000000002</v>
      </c>
      <c r="AE5" s="14"/>
      <c r="AF5" s="194"/>
      <c r="AG5" s="204">
        <f t="shared" si="9"/>
        <v>32310.200000000004</v>
      </c>
    </row>
    <row r="6" spans="1:33" x14ac:dyDescent="0.25">
      <c r="A6" s="10">
        <v>2010</v>
      </c>
      <c r="B6" s="184">
        <f t="shared" si="10"/>
        <v>28278.967031807075</v>
      </c>
      <c r="C6" s="205">
        <f t="shared" si="5"/>
        <v>26962.863631807075</v>
      </c>
      <c r="D6" s="179">
        <v>1316.1034</v>
      </c>
      <c r="E6" s="116">
        <v>174</v>
      </c>
      <c r="F6" s="102">
        <v>153</v>
      </c>
      <c r="G6" s="219">
        <v>21</v>
      </c>
      <c r="H6" s="224">
        <f t="shared" si="0"/>
        <v>92</v>
      </c>
      <c r="I6" s="224">
        <f t="shared" si="1"/>
        <v>82</v>
      </c>
      <c r="J6" s="101">
        <v>85</v>
      </c>
      <c r="K6" s="102">
        <v>68</v>
      </c>
      <c r="L6" s="206">
        <v>7</v>
      </c>
      <c r="M6" s="103">
        <v>14</v>
      </c>
      <c r="N6" s="43">
        <v>4563.6329681929301</v>
      </c>
      <c r="O6" s="188"/>
      <c r="P6" s="178"/>
      <c r="Q6" s="145"/>
      <c r="R6" s="40">
        <v>4.0273972602739724E-2</v>
      </c>
      <c r="S6" s="40">
        <v>4.3150684931506846E-2</v>
      </c>
      <c r="T6" s="28">
        <f t="shared" si="2"/>
        <v>23715.334063614144</v>
      </c>
      <c r="U6" s="28">
        <f t="shared" si="3"/>
        <v>4563.6329681929301</v>
      </c>
      <c r="V6" s="32">
        <f t="shared" ref="V6:V12" si="11">ROUND(R6*T6,0)</f>
        <v>955</v>
      </c>
      <c r="W6" s="32">
        <f t="shared" ref="W6:W13" si="12">ROUND(S6*U6,0)</f>
        <v>197</v>
      </c>
      <c r="X6" s="11">
        <v>1758</v>
      </c>
      <c r="Y6" s="37">
        <v>0.81</v>
      </c>
      <c r="Z6" s="37">
        <v>0.82</v>
      </c>
      <c r="AA6" s="38">
        <f t="shared" si="6"/>
        <v>1167.6635999999999</v>
      </c>
      <c r="AB6" s="34">
        <v>0.17</v>
      </c>
      <c r="AC6" s="36">
        <f t="shared" si="7"/>
        <v>969.16078799999991</v>
      </c>
      <c r="AD6" s="36">
        <f t="shared" si="8"/>
        <v>198.50281199999998</v>
      </c>
      <c r="AE6" s="14"/>
      <c r="AF6" s="194"/>
      <c r="AG6" s="204">
        <f t="shared" si="9"/>
        <v>32842.600000000006</v>
      </c>
    </row>
    <row r="7" spans="1:33" x14ac:dyDescent="0.25">
      <c r="A7" s="10">
        <v>2011</v>
      </c>
      <c r="B7" s="184">
        <f>SUM(C7:D7)</f>
        <v>28559.307407920438</v>
      </c>
      <c r="C7" s="205">
        <f t="shared" si="5"/>
        <v>27385.679807920438</v>
      </c>
      <c r="D7" s="179">
        <v>1173.6276</v>
      </c>
      <c r="E7" s="116">
        <v>210</v>
      </c>
      <c r="F7" s="102">
        <v>190</v>
      </c>
      <c r="G7" s="219">
        <v>20</v>
      </c>
      <c r="H7" s="224">
        <f t="shared" si="0"/>
        <v>106</v>
      </c>
      <c r="I7" s="224">
        <f t="shared" si="1"/>
        <v>104</v>
      </c>
      <c r="J7" s="116">
        <v>99</v>
      </c>
      <c r="K7" s="118">
        <v>91</v>
      </c>
      <c r="L7" s="207">
        <v>7</v>
      </c>
      <c r="M7" s="208">
        <v>13</v>
      </c>
      <c r="N7" s="43">
        <v>4815.6925920795702</v>
      </c>
      <c r="O7" s="188"/>
      <c r="P7" s="178"/>
      <c r="Q7" s="146"/>
      <c r="R7" s="40">
        <v>3.7534246575342468E-2</v>
      </c>
      <c r="S7" s="40">
        <v>4.726027397260274E-2</v>
      </c>
      <c r="T7" s="28">
        <f t="shared" si="2"/>
        <v>23743.614815840869</v>
      </c>
      <c r="U7" s="28">
        <f t="shared" si="3"/>
        <v>4815.6925920795702</v>
      </c>
      <c r="V7" s="32">
        <f t="shared" si="11"/>
        <v>891</v>
      </c>
      <c r="W7" s="32">
        <f t="shared" si="12"/>
        <v>228</v>
      </c>
      <c r="X7" s="11">
        <v>1863</v>
      </c>
      <c r="Y7" s="37">
        <v>0.81</v>
      </c>
      <c r="Z7" s="37">
        <v>0.82</v>
      </c>
      <c r="AA7" s="38">
        <f t="shared" si="6"/>
        <v>1237.4046000000001</v>
      </c>
      <c r="AB7" s="34">
        <v>0.17</v>
      </c>
      <c r="AC7" s="36">
        <f t="shared" si="7"/>
        <v>1027.0458180000001</v>
      </c>
      <c r="AD7" s="36">
        <f t="shared" si="8"/>
        <v>210.35878200000002</v>
      </c>
      <c r="AE7" s="14"/>
      <c r="AF7" s="188">
        <v>33375</v>
      </c>
      <c r="AG7" s="204">
        <f t="shared" si="9"/>
        <v>33375.000000000007</v>
      </c>
    </row>
    <row r="8" spans="1:33" x14ac:dyDescent="0.25">
      <c r="A8" s="10">
        <v>2012</v>
      </c>
      <c r="B8" s="184">
        <f t="shared" si="10"/>
        <v>28921.621942361428</v>
      </c>
      <c r="C8" s="205">
        <f t="shared" si="5"/>
        <v>27817.366342361427</v>
      </c>
      <c r="D8" s="179">
        <v>1104.2556</v>
      </c>
      <c r="E8" s="180">
        <v>206</v>
      </c>
      <c r="F8" s="181">
        <v>172</v>
      </c>
      <c r="G8" s="182">
        <v>34</v>
      </c>
      <c r="H8" s="224">
        <f t="shared" si="0"/>
        <v>111</v>
      </c>
      <c r="I8" s="224">
        <f t="shared" si="1"/>
        <v>95</v>
      </c>
      <c r="J8" s="181">
        <v>101</v>
      </c>
      <c r="K8" s="180">
        <v>71</v>
      </c>
      <c r="L8" s="182">
        <v>10</v>
      </c>
      <c r="M8" s="217">
        <v>24</v>
      </c>
      <c r="N8" s="43">
        <v>5041.3780576385798</v>
      </c>
      <c r="O8" s="188"/>
      <c r="P8" s="178"/>
      <c r="Q8" s="145">
        <v>0.91200000000000003</v>
      </c>
      <c r="R8" s="40">
        <v>4.876712328767123E-2</v>
      </c>
      <c r="S8" s="40">
        <v>5.3835616438356167E-2</v>
      </c>
      <c r="T8" s="28">
        <f t="shared" si="2"/>
        <v>23880.243884722848</v>
      </c>
      <c r="U8" s="28">
        <f t="shared" si="3"/>
        <v>5041.3780576385798</v>
      </c>
      <c r="V8" s="32">
        <f t="shared" si="11"/>
        <v>1165</v>
      </c>
      <c r="W8" s="32">
        <f t="shared" si="12"/>
        <v>271</v>
      </c>
      <c r="X8" s="11">
        <v>2436</v>
      </c>
      <c r="Y8" s="37">
        <v>0.81</v>
      </c>
      <c r="Z8" s="37">
        <v>0.82</v>
      </c>
      <c r="AA8" s="38">
        <f t="shared" si="6"/>
        <v>1617.9911999999999</v>
      </c>
      <c r="AB8" s="34">
        <v>0.17</v>
      </c>
      <c r="AC8" s="36">
        <f t="shared" si="7"/>
        <v>1342.9326959999999</v>
      </c>
      <c r="AD8" s="36">
        <f t="shared" si="8"/>
        <v>275.05850400000003</v>
      </c>
      <c r="AE8" s="14"/>
      <c r="AF8" s="194"/>
      <c r="AG8" s="194">
        <f>AG7+588</f>
        <v>33963.000000000007</v>
      </c>
    </row>
    <row r="9" spans="1:33" x14ac:dyDescent="0.25">
      <c r="A9" s="10">
        <v>2013</v>
      </c>
      <c r="B9" s="184">
        <f t="shared" si="10"/>
        <v>29199.680627822108</v>
      </c>
      <c r="C9" s="205">
        <f t="shared" si="5"/>
        <v>28053.886427822108</v>
      </c>
      <c r="D9" s="179">
        <v>1145.7942</v>
      </c>
      <c r="E9" s="180">
        <v>233</v>
      </c>
      <c r="F9" s="181">
        <v>184</v>
      </c>
      <c r="G9" s="182">
        <v>49</v>
      </c>
      <c r="H9" s="224">
        <f t="shared" si="0"/>
        <v>120</v>
      </c>
      <c r="I9" s="224">
        <f t="shared" si="1"/>
        <v>113</v>
      </c>
      <c r="J9" s="181">
        <v>106</v>
      </c>
      <c r="K9" s="180">
        <v>78</v>
      </c>
      <c r="L9" s="182">
        <v>14</v>
      </c>
      <c r="M9" s="217">
        <v>35</v>
      </c>
      <c r="N9" s="43">
        <v>5351.3193721778998</v>
      </c>
      <c r="O9" s="188"/>
      <c r="P9" s="178"/>
      <c r="Q9" s="145"/>
      <c r="R9" s="40">
        <v>5.2876712328767124E-2</v>
      </c>
      <c r="S9" s="40">
        <v>6.2671232876712321E-2</v>
      </c>
      <c r="T9" s="28">
        <f t="shared" si="2"/>
        <v>23848.361255644209</v>
      </c>
      <c r="U9" s="28">
        <f t="shared" si="3"/>
        <v>5351.3193721778998</v>
      </c>
      <c r="V9" s="32">
        <f t="shared" si="11"/>
        <v>1261</v>
      </c>
      <c r="W9" s="32">
        <f t="shared" si="12"/>
        <v>335</v>
      </c>
      <c r="X9" s="11">
        <v>2978</v>
      </c>
      <c r="Y9" s="37">
        <v>0.81</v>
      </c>
      <c r="Z9" s="37">
        <v>0.82</v>
      </c>
      <c r="AA9" s="38">
        <f t="shared" si="6"/>
        <v>1977.9876000000002</v>
      </c>
      <c r="AB9" s="34">
        <v>0.17</v>
      </c>
      <c r="AC9" s="36">
        <f t="shared" si="7"/>
        <v>1641.7297080000001</v>
      </c>
      <c r="AD9" s="36">
        <f t="shared" si="8"/>
        <v>336.25789200000003</v>
      </c>
      <c r="AE9" s="14"/>
      <c r="AF9" s="194"/>
      <c r="AG9" s="194">
        <f t="shared" ref="AG9:AG15" si="13">AG8+588</f>
        <v>34551.000000000007</v>
      </c>
    </row>
    <row r="10" spans="1:33" x14ac:dyDescent="0.25">
      <c r="A10" s="10">
        <v>2014</v>
      </c>
      <c r="B10" s="184">
        <f t="shared" si="10"/>
        <v>29440.915002848189</v>
      </c>
      <c r="C10" s="205">
        <f t="shared" si="5"/>
        <v>28137.849402848187</v>
      </c>
      <c r="D10" s="179">
        <v>1303.0656000000001</v>
      </c>
      <c r="E10" s="180">
        <v>235</v>
      </c>
      <c r="F10" s="181">
        <v>200</v>
      </c>
      <c r="G10" s="182">
        <v>35</v>
      </c>
      <c r="H10" s="224">
        <f t="shared" si="0"/>
        <v>158</v>
      </c>
      <c r="I10" s="224">
        <f t="shared" si="1"/>
        <v>77</v>
      </c>
      <c r="J10" s="181">
        <v>133</v>
      </c>
      <c r="K10" s="180">
        <v>67</v>
      </c>
      <c r="L10" s="182">
        <v>25</v>
      </c>
      <c r="M10" s="217">
        <v>10</v>
      </c>
      <c r="N10" s="43">
        <v>5698.0849971518201</v>
      </c>
      <c r="O10" s="188"/>
      <c r="P10" s="178"/>
      <c r="Q10" s="145">
        <v>0.88</v>
      </c>
      <c r="R10" s="40">
        <v>5.1506849315068493E-2</v>
      </c>
      <c r="S10" s="40">
        <v>5.321917808219178E-2</v>
      </c>
      <c r="T10" s="28">
        <f t="shared" si="2"/>
        <v>23742.830005696371</v>
      </c>
      <c r="U10" s="28">
        <f t="shared" si="3"/>
        <v>5698.0849971518201</v>
      </c>
      <c r="V10" s="32">
        <f t="shared" si="11"/>
        <v>1223</v>
      </c>
      <c r="W10" s="32">
        <f t="shared" si="12"/>
        <v>303</v>
      </c>
      <c r="X10" s="11">
        <v>3269</v>
      </c>
      <c r="Y10" s="37">
        <v>0.81</v>
      </c>
      <c r="Z10" s="37">
        <v>0.82</v>
      </c>
      <c r="AA10" s="38">
        <f t="shared" si="6"/>
        <v>2171.2698</v>
      </c>
      <c r="AB10" s="34">
        <v>0.17</v>
      </c>
      <c r="AC10" s="36">
        <f t="shared" si="7"/>
        <v>1802.1539339999999</v>
      </c>
      <c r="AD10" s="36">
        <f t="shared" si="8"/>
        <v>369.11586600000004</v>
      </c>
      <c r="AE10" s="14"/>
      <c r="AF10" s="194"/>
      <c r="AG10" s="194">
        <f t="shared" si="13"/>
        <v>35139.000000000007</v>
      </c>
    </row>
    <row r="11" spans="1:33" x14ac:dyDescent="0.25">
      <c r="A11" s="10">
        <v>2015</v>
      </c>
      <c r="B11" s="184">
        <f t="shared" si="10"/>
        <v>29779.673380764089</v>
      </c>
      <c r="C11" s="205">
        <f t="shared" si="5"/>
        <v>28324.252580764089</v>
      </c>
      <c r="D11" s="179">
        <v>1455.4208000000001</v>
      </c>
      <c r="E11" s="180">
        <v>218</v>
      </c>
      <c r="F11" s="181">
        <v>177</v>
      </c>
      <c r="G11" s="182">
        <v>41</v>
      </c>
      <c r="H11" s="224">
        <f t="shared" si="0"/>
        <v>138</v>
      </c>
      <c r="I11" s="224">
        <f t="shared" si="1"/>
        <v>80</v>
      </c>
      <c r="J11" s="181">
        <v>115</v>
      </c>
      <c r="K11" s="180">
        <v>62</v>
      </c>
      <c r="L11" s="182">
        <v>23</v>
      </c>
      <c r="M11" s="217">
        <v>18</v>
      </c>
      <c r="N11" s="43">
        <v>5947.3266192359197</v>
      </c>
      <c r="O11" s="188"/>
      <c r="P11" s="178"/>
      <c r="Q11" s="145">
        <v>0.88</v>
      </c>
      <c r="R11" s="40">
        <v>6.6575342465753418E-2</v>
      </c>
      <c r="S11" s="40">
        <v>6.7191780821917804E-2</v>
      </c>
      <c r="T11" s="28">
        <f t="shared" si="2"/>
        <v>23832.34676152817</v>
      </c>
      <c r="U11" s="28">
        <f t="shared" si="3"/>
        <v>5947.3266192359197</v>
      </c>
      <c r="V11" s="32">
        <f t="shared" si="11"/>
        <v>1587</v>
      </c>
      <c r="W11" s="32">
        <f t="shared" si="12"/>
        <v>400</v>
      </c>
      <c r="X11" s="11">
        <v>4865</v>
      </c>
      <c r="Y11" s="37">
        <v>0.81</v>
      </c>
      <c r="Z11" s="37">
        <v>0.82</v>
      </c>
      <c r="AA11" s="38">
        <f t="shared" si="6"/>
        <v>3231.3330000000001</v>
      </c>
      <c r="AB11" s="35">
        <v>0.17</v>
      </c>
      <c r="AC11" s="36">
        <f t="shared" si="7"/>
        <v>2682.00639</v>
      </c>
      <c r="AD11" s="36">
        <f t="shared" si="8"/>
        <v>549.32661000000007</v>
      </c>
      <c r="AE11" s="14"/>
      <c r="AF11" s="194"/>
      <c r="AG11" s="194">
        <f t="shared" si="13"/>
        <v>35727.000000000007</v>
      </c>
    </row>
    <row r="12" spans="1:33" x14ac:dyDescent="0.25">
      <c r="A12" s="10">
        <v>2016</v>
      </c>
      <c r="B12" s="184">
        <f>SUM(C12:D12)</f>
        <v>29969.474945502057</v>
      </c>
      <c r="C12" s="205">
        <f t="shared" si="5"/>
        <v>28322.999145502057</v>
      </c>
      <c r="D12" s="179">
        <v>1646.4758000000002</v>
      </c>
      <c r="E12" s="180">
        <v>244</v>
      </c>
      <c r="F12" s="181">
        <v>180</v>
      </c>
      <c r="G12" s="182">
        <v>64</v>
      </c>
      <c r="H12" s="224">
        <f t="shared" si="0"/>
        <v>134</v>
      </c>
      <c r="I12" s="224">
        <f t="shared" si="1"/>
        <v>110</v>
      </c>
      <c r="J12" s="181">
        <v>102</v>
      </c>
      <c r="K12" s="180">
        <v>78</v>
      </c>
      <c r="L12" s="182">
        <v>32</v>
      </c>
      <c r="M12" s="217">
        <v>32</v>
      </c>
      <c r="N12" s="43">
        <v>6345.5250544979499</v>
      </c>
      <c r="O12" s="188"/>
      <c r="P12" s="178"/>
      <c r="Q12" s="145">
        <v>0.89</v>
      </c>
      <c r="R12" s="40">
        <v>6.3287671232876708E-2</v>
      </c>
      <c r="S12" s="40">
        <v>6.9246575342465755E-2</v>
      </c>
      <c r="T12" s="28">
        <f t="shared" si="2"/>
        <v>23623.949891004107</v>
      </c>
      <c r="U12" s="28">
        <f t="shared" si="3"/>
        <v>6345.5250544979499</v>
      </c>
      <c r="V12" s="32">
        <f t="shared" si="11"/>
        <v>1495</v>
      </c>
      <c r="W12" s="32">
        <f t="shared" si="12"/>
        <v>439</v>
      </c>
      <c r="X12" s="11">
        <v>6265</v>
      </c>
      <c r="Y12" s="37">
        <v>0.81</v>
      </c>
      <c r="Z12" s="37">
        <v>0.82</v>
      </c>
      <c r="AA12" s="38">
        <f t="shared" si="6"/>
        <v>4161.2130000000006</v>
      </c>
      <c r="AB12" s="35">
        <v>0.13</v>
      </c>
      <c r="AC12" s="36">
        <f t="shared" si="7"/>
        <v>3620.2553100000005</v>
      </c>
      <c r="AD12" s="36">
        <f t="shared" si="8"/>
        <v>540.95769000000007</v>
      </c>
      <c r="AE12" s="42">
        <v>0.18</v>
      </c>
      <c r="AF12" s="188">
        <v>36315</v>
      </c>
      <c r="AG12" s="194">
        <f t="shared" si="13"/>
        <v>36315.000000000007</v>
      </c>
    </row>
    <row r="13" spans="1:33" x14ac:dyDescent="0.25">
      <c r="A13" s="10">
        <v>2017</v>
      </c>
      <c r="B13" s="184">
        <f t="shared" si="10"/>
        <v>30273.114380978837</v>
      </c>
      <c r="C13" s="205">
        <f t="shared" si="5"/>
        <v>28390.895980978836</v>
      </c>
      <c r="D13" s="179">
        <v>1882.2184</v>
      </c>
      <c r="E13" s="180">
        <v>207</v>
      </c>
      <c r="F13" s="181">
        <v>147</v>
      </c>
      <c r="G13" s="182">
        <v>60</v>
      </c>
      <c r="H13" s="224">
        <f t="shared" si="0"/>
        <v>101</v>
      </c>
      <c r="I13" s="224">
        <f t="shared" si="1"/>
        <v>106</v>
      </c>
      <c r="J13" s="181">
        <v>74</v>
      </c>
      <c r="K13" s="180">
        <v>73</v>
      </c>
      <c r="L13" s="182">
        <v>27</v>
      </c>
      <c r="M13" s="217">
        <v>33</v>
      </c>
      <c r="N13" s="43">
        <v>6629.88561902117</v>
      </c>
      <c r="O13" s="188"/>
      <c r="P13" s="178"/>
      <c r="Q13" s="146">
        <v>0.9</v>
      </c>
      <c r="R13" s="40" t="e">
        <f>0.01*(#REF!*#REF!+#REF!*#REF!)/(#REF!+#REF!)</f>
        <v>#REF!</v>
      </c>
      <c r="S13" s="40">
        <v>4.6699999999999998E-2</v>
      </c>
      <c r="T13" s="28">
        <f t="shared" si="2"/>
        <v>23643.228761957667</v>
      </c>
      <c r="U13" s="28">
        <f t="shared" si="3"/>
        <v>6629.88561902117</v>
      </c>
      <c r="V13" s="12"/>
      <c r="W13" s="32">
        <f t="shared" si="12"/>
        <v>310</v>
      </c>
      <c r="X13" s="11">
        <v>7289</v>
      </c>
      <c r="Y13" s="37">
        <v>0.81</v>
      </c>
      <c r="Z13" s="37">
        <v>0.7</v>
      </c>
      <c r="AA13" s="38">
        <f t="shared" si="6"/>
        <v>4132.8630000000003</v>
      </c>
      <c r="AB13" s="34">
        <v>0.1</v>
      </c>
      <c r="AC13" s="36">
        <f t="shared" si="7"/>
        <v>3719.5767000000001</v>
      </c>
      <c r="AD13" s="36">
        <f t="shared" si="8"/>
        <v>413.28630000000004</v>
      </c>
      <c r="AF13" s="194"/>
      <c r="AG13" s="194">
        <f>AG12+588</f>
        <v>36903.000000000007</v>
      </c>
    </row>
    <row r="14" spans="1:33" x14ac:dyDescent="0.25">
      <c r="A14" s="10">
        <v>2018</v>
      </c>
      <c r="B14" s="184">
        <f t="shared" si="10"/>
        <v>37491.000000000007</v>
      </c>
      <c r="C14" s="205">
        <f t="shared" si="5"/>
        <v>35358.027200000004</v>
      </c>
      <c r="D14" s="179">
        <v>2132.9728</v>
      </c>
      <c r="E14" s="180">
        <v>174</v>
      </c>
      <c r="F14" s="181">
        <v>120</v>
      </c>
      <c r="G14" s="183">
        <v>54</v>
      </c>
      <c r="H14" s="224">
        <f t="shared" si="0"/>
        <v>79</v>
      </c>
      <c r="I14" s="224">
        <f t="shared" si="1"/>
        <v>95</v>
      </c>
      <c r="J14" s="181">
        <v>60</v>
      </c>
      <c r="K14" s="180">
        <v>60</v>
      </c>
      <c r="L14" s="183">
        <v>19</v>
      </c>
      <c r="M14" s="181">
        <v>35</v>
      </c>
      <c r="N14" s="184"/>
      <c r="O14" s="188"/>
      <c r="P14" s="178"/>
      <c r="Q14" s="145">
        <v>0.9</v>
      </c>
      <c r="U14" s="28">
        <f t="shared" si="3"/>
        <v>0</v>
      </c>
      <c r="AF14" s="193"/>
      <c r="AG14" s="194">
        <f t="shared" si="13"/>
        <v>37491.000000000007</v>
      </c>
    </row>
    <row r="15" spans="1:33" s="16" customFormat="1" x14ac:dyDescent="0.25">
      <c r="A15" s="117">
        <v>2019</v>
      </c>
      <c r="B15" s="184">
        <f t="shared" si="10"/>
        <v>38079.000000000007</v>
      </c>
      <c r="C15" s="205">
        <f t="shared" si="5"/>
        <v>35727.806200000006</v>
      </c>
      <c r="D15" s="179">
        <v>2351.1938</v>
      </c>
      <c r="E15" s="116"/>
      <c r="F15" s="118"/>
      <c r="G15" s="119"/>
      <c r="H15" s="224"/>
      <c r="I15" s="224"/>
      <c r="J15" s="116"/>
      <c r="K15" s="118"/>
      <c r="L15" s="118"/>
      <c r="M15" s="119"/>
      <c r="N15" s="104"/>
      <c r="O15" s="105"/>
      <c r="P15" s="106"/>
      <c r="Q15" s="147"/>
      <c r="AF15" s="194"/>
      <c r="AG15" s="194">
        <f t="shared" si="13"/>
        <v>38079.000000000007</v>
      </c>
    </row>
    <row r="16" spans="1:33" x14ac:dyDescent="0.25">
      <c r="G16" s="10"/>
      <c r="H16" s="10"/>
      <c r="I16" s="10"/>
      <c r="J16" s="209"/>
      <c r="K16" s="209"/>
      <c r="L16" s="117"/>
      <c r="M16" s="117"/>
      <c r="T16" s="120"/>
    </row>
    <row r="17" spans="2:14" x14ac:dyDescent="0.25">
      <c r="B17" s="10"/>
      <c r="C17" s="10"/>
      <c r="D17" s="10"/>
      <c r="G17" s="10"/>
      <c r="H17" s="10"/>
      <c r="I17" s="10"/>
      <c r="L17" s="10"/>
      <c r="M17" s="10"/>
    </row>
    <row r="18" spans="2:14" x14ac:dyDescent="0.25">
      <c r="B18" s="10"/>
      <c r="C18" s="10"/>
      <c r="D18" s="10"/>
      <c r="G18" s="10"/>
      <c r="H18" s="10"/>
      <c r="I18" s="10"/>
      <c r="L18" s="10"/>
    </row>
    <row r="19" spans="2:14" x14ac:dyDescent="0.25">
      <c r="B19" s="10"/>
      <c r="C19" s="10"/>
      <c r="D19" s="10"/>
      <c r="G19" s="10"/>
      <c r="H19" s="10"/>
      <c r="I19" s="10"/>
      <c r="L19" s="10"/>
      <c r="N19" s="43"/>
    </row>
    <row r="20" spans="2:14" x14ac:dyDescent="0.25">
      <c r="B20" s="10"/>
      <c r="C20" s="10"/>
      <c r="D20" s="10"/>
      <c r="G20" s="10"/>
      <c r="H20" s="10"/>
      <c r="I20" s="10"/>
      <c r="L20" s="10"/>
      <c r="N20" s="43"/>
    </row>
    <row r="21" spans="2:14" x14ac:dyDescent="0.25">
      <c r="B21" s="10"/>
      <c r="C21" s="10"/>
      <c r="D21" s="10"/>
      <c r="G21" s="10"/>
      <c r="H21" s="10"/>
      <c r="I21" s="10"/>
      <c r="L21" s="10"/>
      <c r="N21" s="43"/>
    </row>
    <row r="22" spans="2:14" x14ac:dyDescent="0.25">
      <c r="B22" s="10"/>
      <c r="C22" s="10"/>
      <c r="D22" s="10"/>
      <c r="G22" s="10"/>
      <c r="H22" s="10"/>
      <c r="I22" s="10"/>
      <c r="L22" s="10"/>
      <c r="N22" s="43"/>
    </row>
    <row r="23" spans="2:14" x14ac:dyDescent="0.25">
      <c r="B23" s="10"/>
      <c r="C23" s="10"/>
      <c r="D23" s="10"/>
      <c r="N23" s="43"/>
    </row>
    <row r="24" spans="2:14" x14ac:dyDescent="0.25">
      <c r="B24" s="10"/>
      <c r="C24" s="10"/>
      <c r="D24" s="10"/>
      <c r="N24" s="43"/>
    </row>
    <row r="25" spans="2:14" x14ac:dyDescent="0.25">
      <c r="B25" s="10"/>
      <c r="C25" s="10"/>
      <c r="D25" s="10"/>
      <c r="N25" s="4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D4" sqref="D4"/>
    </sheetView>
  </sheetViews>
  <sheetFormatPr defaultRowHeight="15" x14ac:dyDescent="0.25"/>
  <sheetData>
    <row r="1" spans="1:16" ht="15.75" thickBot="1" x14ac:dyDescent="0.3">
      <c r="A1" s="121"/>
      <c r="B1" s="122" t="s">
        <v>107</v>
      </c>
      <c r="C1" s="123" t="s">
        <v>108</v>
      </c>
      <c r="D1" s="123" t="s">
        <v>109</v>
      </c>
      <c r="E1" s="137" t="s">
        <v>110</v>
      </c>
      <c r="F1" s="123" t="s">
        <v>111</v>
      </c>
      <c r="G1" s="124" t="s">
        <v>112</v>
      </c>
    </row>
    <row r="2" spans="1:16" ht="15" customHeight="1" x14ac:dyDescent="0.25">
      <c r="A2" s="125" t="s">
        <v>107</v>
      </c>
      <c r="B2" s="126">
        <v>1</v>
      </c>
      <c r="C2" s="127">
        <v>1</v>
      </c>
      <c r="D2" s="127">
        <v>1</v>
      </c>
      <c r="E2" s="142">
        <v>1</v>
      </c>
      <c r="F2" s="127">
        <v>1</v>
      </c>
      <c r="G2" s="128">
        <v>1</v>
      </c>
      <c r="I2" s="225" t="s">
        <v>113</v>
      </c>
      <c r="J2" s="225"/>
      <c r="K2" s="225"/>
      <c r="L2" s="225"/>
      <c r="M2" s="225"/>
      <c r="N2" s="225"/>
      <c r="O2" s="225"/>
      <c r="P2" s="225"/>
    </row>
    <row r="3" spans="1:16" x14ac:dyDescent="0.25">
      <c r="A3" s="129" t="s">
        <v>108</v>
      </c>
      <c r="B3" s="130">
        <v>1</v>
      </c>
      <c r="C3" s="131">
        <v>1</v>
      </c>
      <c r="D3" s="131">
        <v>1</v>
      </c>
      <c r="E3" s="140">
        <v>1</v>
      </c>
      <c r="F3" s="131">
        <v>1</v>
      </c>
      <c r="G3" s="132">
        <v>1</v>
      </c>
      <c r="I3" s="225"/>
      <c r="J3" s="225"/>
      <c r="K3" s="225"/>
      <c r="L3" s="225"/>
      <c r="M3" s="225"/>
      <c r="N3" s="225"/>
      <c r="O3" s="225"/>
      <c r="P3" s="225"/>
    </row>
    <row r="4" spans="1:16" x14ac:dyDescent="0.25">
      <c r="A4" s="129" t="s">
        <v>109</v>
      </c>
      <c r="B4" s="130">
        <v>1</v>
      </c>
      <c r="C4" s="131">
        <v>1</v>
      </c>
      <c r="D4" s="131">
        <v>1</v>
      </c>
      <c r="E4" s="140">
        <v>1</v>
      </c>
      <c r="F4" s="131">
        <v>1</v>
      </c>
      <c r="G4" s="132">
        <v>1</v>
      </c>
      <c r="I4" s="225"/>
      <c r="J4" s="225"/>
      <c r="K4" s="225"/>
      <c r="L4" s="225"/>
      <c r="M4" s="225"/>
      <c r="N4" s="225"/>
      <c r="O4" s="225"/>
      <c r="P4" s="225"/>
    </row>
    <row r="5" spans="1:16" x14ac:dyDescent="0.25">
      <c r="A5" s="138" t="s">
        <v>110</v>
      </c>
      <c r="B5" s="139">
        <v>1</v>
      </c>
      <c r="C5" s="140">
        <v>1</v>
      </c>
      <c r="D5" s="140">
        <v>1</v>
      </c>
      <c r="E5" s="140">
        <v>1</v>
      </c>
      <c r="F5" s="140">
        <v>1</v>
      </c>
      <c r="G5" s="141">
        <v>1</v>
      </c>
      <c r="I5" s="225"/>
      <c r="J5" s="225"/>
      <c r="K5" s="225"/>
      <c r="L5" s="225"/>
      <c r="M5" s="225"/>
      <c r="N5" s="225"/>
      <c r="O5" s="225"/>
      <c r="P5" s="225"/>
    </row>
    <row r="6" spans="1:16" x14ac:dyDescent="0.25">
      <c r="A6" s="129" t="s">
        <v>111</v>
      </c>
      <c r="B6" s="130">
        <v>1</v>
      </c>
      <c r="C6" s="131">
        <v>1</v>
      </c>
      <c r="D6" s="131">
        <v>1</v>
      </c>
      <c r="E6" s="140">
        <v>1</v>
      </c>
      <c r="F6" s="131">
        <v>1</v>
      </c>
      <c r="G6" s="132">
        <v>1</v>
      </c>
    </row>
    <row r="7" spans="1:16" ht="15.75" thickBot="1" x14ac:dyDescent="0.3">
      <c r="A7" s="133" t="s">
        <v>112</v>
      </c>
      <c r="B7" s="134">
        <v>1</v>
      </c>
      <c r="C7" s="135">
        <v>1</v>
      </c>
      <c r="D7" s="135">
        <v>1</v>
      </c>
      <c r="E7" s="143">
        <v>1</v>
      </c>
      <c r="F7" s="135">
        <v>1</v>
      </c>
      <c r="G7" s="136">
        <v>1</v>
      </c>
    </row>
  </sheetData>
  <mergeCells count="1">
    <mergeCell ref="I2:P5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"/>
  <sheetViews>
    <sheetView topLeftCell="D1" zoomScale="70" zoomScaleNormal="70" workbookViewId="0">
      <selection activeCell="K4" sqref="K4:L4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3.85546875" style="60" bestFit="1" customWidth="1"/>
    <col min="8" max="8" width="12.85546875" style="60" bestFit="1" customWidth="1"/>
    <col min="9" max="9" width="14.85546875" style="60" bestFit="1" customWidth="1"/>
    <col min="10" max="10" width="13.85546875" style="60" bestFit="1" customWidth="1"/>
    <col min="11" max="11" width="10.7109375" style="60" bestFit="1" customWidth="1"/>
    <col min="12" max="12" width="9.7109375" style="60" bestFit="1" customWidth="1"/>
    <col min="13" max="13" width="13.85546875" style="60" bestFit="1" customWidth="1"/>
    <col min="14" max="14" width="12.85546875" style="60" bestFit="1" customWidth="1"/>
    <col min="15" max="15" width="14.85546875" style="60" bestFit="1" customWidth="1"/>
    <col min="16" max="16" width="13.85546875" style="60" bestFit="1" customWidth="1"/>
    <col min="17" max="17" width="10.7109375" style="60" bestFit="1" customWidth="1"/>
    <col min="18" max="18" width="9.7109375" style="60" bestFit="1" customWidth="1"/>
    <col min="19" max="19" width="19.85546875" style="60" bestFit="1" customWidth="1"/>
    <col min="20" max="20" width="28" style="60" bestFit="1" customWidth="1"/>
    <col min="21" max="21" width="14.42578125" style="60" bestFit="1" customWidth="1"/>
    <col min="22" max="22" width="19.85546875" style="60" bestFit="1" customWidth="1"/>
    <col min="23" max="23" width="28" style="60" bestFit="1" customWidth="1"/>
    <col min="24" max="24" width="20" style="43" bestFit="1" customWidth="1"/>
    <col min="25" max="26" width="16.28515625" style="43" bestFit="1" customWidth="1"/>
    <col min="27" max="16384" width="9.140625" style="43"/>
  </cols>
  <sheetData>
    <row r="1" spans="1:26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58" t="s">
        <v>69</v>
      </c>
      <c r="I1" s="159" t="s">
        <v>69</v>
      </c>
      <c r="J1" s="158" t="s">
        <v>69</v>
      </c>
      <c r="K1" s="159" t="s">
        <v>69</v>
      </c>
      <c r="L1" s="68" t="s">
        <v>69</v>
      </c>
      <c r="M1" s="66" t="s">
        <v>69</v>
      </c>
      <c r="N1" s="158" t="s">
        <v>69</v>
      </c>
      <c r="O1" s="159" t="s">
        <v>69</v>
      </c>
      <c r="P1" s="158" t="s">
        <v>69</v>
      </c>
      <c r="Q1" s="159" t="s">
        <v>69</v>
      </c>
      <c r="R1" s="68" t="s">
        <v>69</v>
      </c>
      <c r="S1" s="67" t="s">
        <v>78</v>
      </c>
      <c r="T1" s="68" t="s">
        <v>78</v>
      </c>
      <c r="U1" s="66" t="s">
        <v>82</v>
      </c>
      <c r="V1" s="67" t="s">
        <v>82</v>
      </c>
      <c r="W1" s="68" t="s">
        <v>82</v>
      </c>
      <c r="X1" s="67" t="s">
        <v>130</v>
      </c>
      <c r="Y1" s="68" t="s">
        <v>131</v>
      </c>
      <c r="Z1" s="68" t="s">
        <v>146</v>
      </c>
    </row>
    <row r="2" spans="1:26" x14ac:dyDescent="0.25">
      <c r="A2" s="31" t="s">
        <v>84</v>
      </c>
      <c r="B2" s="44"/>
      <c r="C2" s="44"/>
      <c r="D2" s="69"/>
      <c r="E2" s="71"/>
      <c r="F2" s="31"/>
      <c r="G2" s="69" t="s">
        <v>124</v>
      </c>
      <c r="H2" s="160" t="s">
        <v>125</v>
      </c>
      <c r="I2" s="161" t="s">
        <v>126</v>
      </c>
      <c r="J2" s="160" t="s">
        <v>127</v>
      </c>
      <c r="K2" s="161" t="s">
        <v>128</v>
      </c>
      <c r="L2" s="71" t="s">
        <v>129</v>
      </c>
      <c r="M2" s="69" t="s">
        <v>124</v>
      </c>
      <c r="N2" s="160" t="s">
        <v>125</v>
      </c>
      <c r="O2" s="161" t="s">
        <v>126</v>
      </c>
      <c r="P2" s="160" t="s">
        <v>127</v>
      </c>
      <c r="Q2" s="161" t="s">
        <v>128</v>
      </c>
      <c r="R2" s="71" t="s">
        <v>129</v>
      </c>
      <c r="S2" s="70"/>
      <c r="T2" s="71"/>
      <c r="U2" s="69"/>
      <c r="V2" s="70"/>
      <c r="W2" s="71"/>
      <c r="X2" s="70"/>
      <c r="Y2" s="71"/>
      <c r="Z2" s="71"/>
    </row>
    <row r="3" spans="1:26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0" t="s">
        <v>97</v>
      </c>
      <c r="H3" s="60" t="s">
        <v>97</v>
      </c>
      <c r="I3" s="60" t="s">
        <v>97</v>
      </c>
      <c r="J3" s="60" t="s">
        <v>97</v>
      </c>
      <c r="K3" s="60" t="s">
        <v>97</v>
      </c>
      <c r="L3" s="60" t="s">
        <v>97</v>
      </c>
      <c r="M3" s="213" t="s">
        <v>98</v>
      </c>
      <c r="N3" s="214" t="s">
        <v>98</v>
      </c>
      <c r="O3" s="215" t="s">
        <v>98</v>
      </c>
      <c r="P3" s="214" t="s">
        <v>98</v>
      </c>
      <c r="Q3" s="215" t="s">
        <v>98</v>
      </c>
      <c r="R3" s="216" t="s">
        <v>98</v>
      </c>
      <c r="S3" s="70" t="s">
        <v>80</v>
      </c>
      <c r="T3" s="71" t="s">
        <v>81</v>
      </c>
      <c r="U3" s="69" t="s">
        <v>79</v>
      </c>
      <c r="V3" s="70" t="s">
        <v>80</v>
      </c>
      <c r="W3" s="71" t="s">
        <v>81</v>
      </c>
      <c r="X3" s="70" t="s">
        <v>98</v>
      </c>
      <c r="Y3" s="71" t="s">
        <v>98</v>
      </c>
      <c r="Z3" s="71" t="s">
        <v>97</v>
      </c>
    </row>
    <row r="4" spans="1:26" s="59" customFormat="1" x14ac:dyDescent="0.25">
      <c r="A4" s="30">
        <v>2000</v>
      </c>
      <c r="B4" s="29"/>
      <c r="C4" s="29">
        <v>0.97</v>
      </c>
      <c r="D4" s="74">
        <v>0</v>
      </c>
      <c r="E4" s="74">
        <v>0</v>
      </c>
      <c r="F4" s="65">
        <v>0.7</v>
      </c>
      <c r="G4" s="72"/>
      <c r="H4" s="162"/>
      <c r="I4" s="163"/>
      <c r="J4" s="162"/>
      <c r="K4" s="163">
        <v>0.25</v>
      </c>
      <c r="L4" s="74">
        <v>0.25</v>
      </c>
      <c r="M4" s="72"/>
      <c r="N4" s="162"/>
      <c r="O4" s="163"/>
      <c r="P4" s="162"/>
      <c r="Q4" s="163">
        <v>0.25</v>
      </c>
      <c r="R4" s="74">
        <v>0.25</v>
      </c>
      <c r="S4" s="73"/>
      <c r="T4" s="74"/>
      <c r="U4" s="72">
        <v>1</v>
      </c>
      <c r="V4" s="73">
        <v>1</v>
      </c>
      <c r="W4" s="74">
        <v>0.04</v>
      </c>
      <c r="X4" s="73">
        <v>5.5</v>
      </c>
      <c r="Y4" s="74">
        <v>0.16</v>
      </c>
      <c r="Z4" s="74">
        <v>1.03</v>
      </c>
    </row>
    <row r="5" spans="1:26" s="59" customFormat="1" x14ac:dyDescent="0.25">
      <c r="A5" s="31">
        <v>2001</v>
      </c>
      <c r="B5" s="44"/>
      <c r="C5" s="44"/>
      <c r="D5" s="75"/>
      <c r="E5" s="77"/>
      <c r="F5" s="62"/>
      <c r="G5" s="75"/>
      <c r="H5" s="164"/>
      <c r="I5" s="165"/>
      <c r="J5" s="164"/>
      <c r="K5" s="165"/>
      <c r="L5" s="77"/>
      <c r="M5" s="75"/>
      <c r="N5" s="164"/>
      <c r="O5" s="165"/>
      <c r="P5" s="164"/>
      <c r="Q5" s="165"/>
      <c r="R5" s="77"/>
      <c r="S5" s="76"/>
      <c r="T5" s="77"/>
      <c r="U5" s="75"/>
      <c r="V5" s="76"/>
      <c r="W5" s="77"/>
      <c r="X5" s="76"/>
      <c r="Y5" s="77"/>
      <c r="Z5" s="77"/>
    </row>
    <row r="6" spans="1:26" s="59" customFormat="1" x14ac:dyDescent="0.25">
      <c r="A6" s="31">
        <v>2002</v>
      </c>
      <c r="B6" s="44"/>
      <c r="C6" s="44"/>
      <c r="D6" s="75"/>
      <c r="E6" s="77"/>
      <c r="F6" s="62"/>
      <c r="G6" s="75"/>
      <c r="H6" s="164"/>
      <c r="I6" s="165"/>
      <c r="J6" s="164"/>
      <c r="K6" s="165"/>
      <c r="L6" s="77"/>
      <c r="M6" s="75"/>
      <c r="N6" s="164"/>
      <c r="O6" s="165"/>
      <c r="P6" s="164"/>
      <c r="Q6" s="165"/>
      <c r="R6" s="77"/>
      <c r="S6" s="76"/>
      <c r="T6" s="77"/>
      <c r="U6" s="75"/>
      <c r="V6" s="76"/>
      <c r="W6" s="77"/>
      <c r="X6" s="76"/>
      <c r="Y6" s="77"/>
      <c r="Z6" s="77"/>
    </row>
    <row r="7" spans="1:26" s="59" customFormat="1" x14ac:dyDescent="0.25">
      <c r="A7" s="31">
        <v>2003</v>
      </c>
      <c r="B7" s="186">
        <v>0.26</v>
      </c>
      <c r="C7" s="44"/>
      <c r="D7" s="75"/>
      <c r="E7" s="77"/>
      <c r="F7" s="62"/>
      <c r="G7" s="75"/>
      <c r="H7" s="164"/>
      <c r="I7" s="165"/>
      <c r="J7" s="164"/>
      <c r="K7" s="165"/>
      <c r="L7" s="77"/>
      <c r="M7" s="75"/>
      <c r="N7" s="164"/>
      <c r="O7" s="165"/>
      <c r="P7" s="164"/>
      <c r="Q7" s="165"/>
      <c r="R7" s="77"/>
      <c r="S7" s="76"/>
      <c r="T7" s="77"/>
      <c r="U7" s="75"/>
      <c r="V7" s="76"/>
      <c r="W7" s="77"/>
      <c r="X7" s="76"/>
      <c r="Y7" s="77"/>
      <c r="Z7" s="77"/>
    </row>
    <row r="8" spans="1:26" s="59" customFormat="1" x14ac:dyDescent="0.25">
      <c r="A8" s="31">
        <v>2004</v>
      </c>
      <c r="B8" s="186">
        <v>0.24</v>
      </c>
      <c r="C8" s="44"/>
      <c r="D8" s="75"/>
      <c r="E8" s="77"/>
      <c r="F8" s="62"/>
      <c r="G8" s="75"/>
      <c r="H8" s="164"/>
      <c r="I8" s="165"/>
      <c r="J8" s="164"/>
      <c r="K8" s="165"/>
      <c r="L8" s="77"/>
      <c r="M8" s="75"/>
      <c r="N8" s="164"/>
      <c r="O8" s="165"/>
      <c r="P8" s="164"/>
      <c r="Q8" s="165"/>
      <c r="R8" s="77"/>
      <c r="S8" s="76"/>
      <c r="T8" s="77"/>
      <c r="U8" s="75"/>
      <c r="V8" s="76"/>
      <c r="W8" s="77"/>
      <c r="X8" s="76"/>
      <c r="Y8" s="77"/>
      <c r="Z8" s="77"/>
    </row>
    <row r="9" spans="1:26" s="59" customFormat="1" x14ac:dyDescent="0.25">
      <c r="A9" s="31">
        <v>2005</v>
      </c>
      <c r="B9" s="186">
        <v>0.28000000000000003</v>
      </c>
      <c r="C9" s="44"/>
      <c r="D9" s="75"/>
      <c r="E9" s="77"/>
      <c r="F9" s="62"/>
      <c r="G9" s="75"/>
      <c r="H9" s="164"/>
      <c r="I9" s="165"/>
      <c r="J9" s="164"/>
      <c r="K9" s="165"/>
      <c r="L9" s="77"/>
      <c r="M9" s="75"/>
      <c r="N9" s="164"/>
      <c r="O9" s="165"/>
      <c r="P9" s="164"/>
      <c r="Q9" s="165"/>
      <c r="R9" s="77"/>
      <c r="S9" s="76"/>
      <c r="T9" s="77"/>
      <c r="U9" s="75"/>
      <c r="V9" s="76"/>
      <c r="W9" s="77"/>
      <c r="X9" s="76"/>
      <c r="Y9" s="77"/>
      <c r="Z9" s="77"/>
    </row>
    <row r="10" spans="1:26" s="59" customFormat="1" x14ac:dyDescent="0.25">
      <c r="A10" s="31">
        <v>2006</v>
      </c>
      <c r="B10" s="186">
        <v>0.26</v>
      </c>
      <c r="C10" s="44"/>
      <c r="D10" s="75"/>
      <c r="E10" s="77"/>
      <c r="F10" s="62"/>
      <c r="G10" s="75">
        <v>2.82</v>
      </c>
      <c r="H10" s="75">
        <v>2.82</v>
      </c>
      <c r="I10" s="75">
        <v>2.82</v>
      </c>
      <c r="J10" s="75">
        <v>2.82</v>
      </c>
      <c r="K10" s="165"/>
      <c r="L10" s="77"/>
      <c r="M10" s="75">
        <v>2.46</v>
      </c>
      <c r="N10" s="75">
        <v>2.46</v>
      </c>
      <c r="O10" s="75">
        <v>2.46</v>
      </c>
      <c r="P10" s="75">
        <v>2.46</v>
      </c>
      <c r="Q10" s="165"/>
      <c r="R10" s="77"/>
      <c r="S10" s="76"/>
      <c r="T10" s="77"/>
      <c r="U10" s="75"/>
      <c r="V10" s="76"/>
      <c r="W10" s="77"/>
      <c r="X10" s="76"/>
      <c r="Y10" s="77"/>
      <c r="Z10" s="77"/>
    </row>
    <row r="11" spans="1:26" s="59" customFormat="1" x14ac:dyDescent="0.25">
      <c r="A11" s="31">
        <v>2007</v>
      </c>
      <c r="B11" s="186">
        <v>0.26</v>
      </c>
      <c r="C11" s="44"/>
      <c r="D11" s="75"/>
      <c r="E11" s="77"/>
      <c r="F11" s="62"/>
      <c r="G11" s="75">
        <v>3.06</v>
      </c>
      <c r="H11" s="75">
        <v>3.06</v>
      </c>
      <c r="I11" s="75">
        <v>3.06</v>
      </c>
      <c r="J11" s="75">
        <v>3.06</v>
      </c>
      <c r="K11" s="165"/>
      <c r="L11" s="77"/>
      <c r="M11" s="75">
        <v>2.77</v>
      </c>
      <c r="N11" s="75">
        <v>2.77</v>
      </c>
      <c r="O11" s="75">
        <v>2.77</v>
      </c>
      <c r="P11" s="75">
        <v>2.77</v>
      </c>
      <c r="Q11" s="165"/>
      <c r="R11" s="77"/>
      <c r="S11" s="76">
        <v>0.75</v>
      </c>
      <c r="T11" s="77">
        <v>0.8</v>
      </c>
      <c r="U11" s="75"/>
      <c r="V11" s="76"/>
      <c r="W11" s="77"/>
      <c r="X11" s="76"/>
      <c r="Y11" s="77"/>
      <c r="Z11" s="77"/>
    </row>
    <row r="12" spans="1:26" s="59" customFormat="1" x14ac:dyDescent="0.25">
      <c r="A12" s="31">
        <v>2008</v>
      </c>
      <c r="B12" s="186">
        <v>0.27</v>
      </c>
      <c r="C12" s="44"/>
      <c r="D12" s="75"/>
      <c r="E12" s="77"/>
      <c r="F12" s="62"/>
      <c r="G12" s="75">
        <v>2.4300000000000002</v>
      </c>
      <c r="H12" s="75">
        <v>2.4300000000000002</v>
      </c>
      <c r="I12" s="75">
        <v>2.4300000000000002</v>
      </c>
      <c r="J12" s="75">
        <v>2.4300000000000002</v>
      </c>
      <c r="K12" s="165"/>
      <c r="L12" s="77"/>
      <c r="M12" s="75">
        <v>2.91</v>
      </c>
      <c r="N12" s="75">
        <v>2.91</v>
      </c>
      <c r="O12" s="75">
        <v>2.91</v>
      </c>
      <c r="P12" s="75">
        <v>2.91</v>
      </c>
      <c r="Q12" s="165"/>
      <c r="R12" s="77"/>
      <c r="S12" s="76"/>
      <c r="T12" s="77"/>
      <c r="U12" s="75"/>
      <c r="V12" s="76"/>
      <c r="W12" s="77"/>
      <c r="X12" s="76"/>
      <c r="Y12" s="77"/>
      <c r="Z12" s="77"/>
    </row>
    <row r="13" spans="1:26" s="59" customFormat="1" x14ac:dyDescent="0.25">
      <c r="A13" s="31">
        <v>2009</v>
      </c>
      <c r="B13" s="186">
        <v>0.28999999999999998</v>
      </c>
      <c r="C13" s="44"/>
      <c r="D13" s="185">
        <v>0</v>
      </c>
      <c r="F13" s="62"/>
      <c r="G13" s="75">
        <v>2.65</v>
      </c>
      <c r="H13" s="75">
        <v>2.65</v>
      </c>
      <c r="I13" s="75">
        <v>2.65</v>
      </c>
      <c r="J13" s="75">
        <v>2.65</v>
      </c>
      <c r="K13" s="165"/>
      <c r="L13" s="77"/>
      <c r="M13" s="75">
        <v>1.07</v>
      </c>
      <c r="N13" s="75">
        <v>1.07</v>
      </c>
      <c r="O13" s="75">
        <v>1.07</v>
      </c>
      <c r="P13" s="75">
        <v>1.07</v>
      </c>
      <c r="Q13" s="210"/>
      <c r="R13" s="211"/>
      <c r="S13" s="76"/>
      <c r="T13" s="77"/>
      <c r="U13" s="75"/>
      <c r="V13" s="76"/>
      <c r="W13" s="77"/>
      <c r="X13" s="76"/>
      <c r="Y13" s="77"/>
      <c r="Z13" s="77"/>
    </row>
    <row r="14" spans="1:26" s="59" customFormat="1" x14ac:dyDescent="0.25">
      <c r="A14" s="31">
        <v>2010</v>
      </c>
      <c r="B14" s="186">
        <v>0.32</v>
      </c>
      <c r="C14" s="44"/>
      <c r="D14" s="185">
        <v>0</v>
      </c>
      <c r="F14" s="62"/>
      <c r="G14" s="75">
        <v>2.23</v>
      </c>
      <c r="H14" s="75">
        <v>2.23</v>
      </c>
      <c r="I14" s="75">
        <v>2.23</v>
      </c>
      <c r="J14" s="75">
        <v>2.23</v>
      </c>
      <c r="K14" s="210"/>
      <c r="L14" s="211"/>
      <c r="M14" s="75">
        <v>2.71</v>
      </c>
      <c r="N14" s="75">
        <v>2.71</v>
      </c>
      <c r="O14" s="75">
        <v>2.71</v>
      </c>
      <c r="P14" s="75">
        <v>2.71</v>
      </c>
      <c r="Q14" s="210"/>
      <c r="R14" s="211"/>
      <c r="S14" s="76">
        <v>0.75</v>
      </c>
      <c r="T14" s="77">
        <v>0.8</v>
      </c>
      <c r="U14" s="75"/>
      <c r="V14" s="76"/>
      <c r="W14" s="77"/>
      <c r="X14" s="76"/>
      <c r="Y14" s="77"/>
      <c r="Z14" s="77"/>
    </row>
    <row r="15" spans="1:26" s="59" customFormat="1" x14ac:dyDescent="0.25">
      <c r="A15" s="31">
        <v>2011</v>
      </c>
      <c r="B15" s="186">
        <v>0.31</v>
      </c>
      <c r="C15" s="44"/>
      <c r="D15" s="185">
        <v>0</v>
      </c>
      <c r="F15" s="62"/>
      <c r="G15" s="75">
        <v>1.92</v>
      </c>
      <c r="H15" s="75">
        <v>1.92</v>
      </c>
      <c r="I15" s="75">
        <v>1.92</v>
      </c>
      <c r="J15" s="75">
        <v>1.92</v>
      </c>
      <c r="K15" s="210"/>
      <c r="L15" s="211"/>
      <c r="M15" s="75">
        <v>1.92</v>
      </c>
      <c r="N15" s="75">
        <v>1.92</v>
      </c>
      <c r="O15" s="75">
        <v>1.92</v>
      </c>
      <c r="P15" s="75">
        <v>1.92</v>
      </c>
      <c r="Q15" s="210"/>
      <c r="R15" s="211"/>
      <c r="S15" s="76"/>
      <c r="T15" s="77"/>
      <c r="U15" s="75"/>
      <c r="V15" s="76"/>
      <c r="W15" s="77"/>
      <c r="X15" s="76"/>
      <c r="Y15" s="77"/>
      <c r="Z15" s="77"/>
    </row>
    <row r="16" spans="1:26" s="59" customFormat="1" x14ac:dyDescent="0.25">
      <c r="A16" s="31">
        <v>2012</v>
      </c>
      <c r="B16" s="186">
        <v>0.28000000000000003</v>
      </c>
      <c r="C16" s="44"/>
      <c r="D16" s="185">
        <v>0</v>
      </c>
      <c r="F16" s="62"/>
      <c r="G16" s="43">
        <v>1.91</v>
      </c>
      <c r="H16" s="43">
        <v>1.91</v>
      </c>
      <c r="I16" s="43">
        <v>1.91</v>
      </c>
      <c r="J16" s="43">
        <v>1.91</v>
      </c>
      <c r="K16" s="210"/>
      <c r="L16" s="212"/>
      <c r="M16" s="43">
        <v>2.37</v>
      </c>
      <c r="N16" s="43">
        <v>2.37</v>
      </c>
      <c r="O16" s="43">
        <v>2.37</v>
      </c>
      <c r="P16" s="43">
        <v>2.37</v>
      </c>
      <c r="Q16" s="210"/>
      <c r="R16" s="77"/>
      <c r="S16" s="76">
        <v>0.82</v>
      </c>
      <c r="T16" s="77">
        <v>0.88</v>
      </c>
      <c r="U16" s="75"/>
      <c r="V16" s="76"/>
      <c r="W16" s="77"/>
      <c r="X16" s="76"/>
      <c r="Y16" s="77"/>
      <c r="Z16" s="77"/>
    </row>
    <row r="17" spans="1:26" s="59" customFormat="1" x14ac:dyDescent="0.25">
      <c r="A17" s="31">
        <v>2013</v>
      </c>
      <c r="B17" s="186">
        <v>0.3</v>
      </c>
      <c r="C17" s="44"/>
      <c r="D17" s="185">
        <v>0</v>
      </c>
      <c r="F17" s="62"/>
      <c r="G17" s="43">
        <v>2.34</v>
      </c>
      <c r="H17" s="43">
        <v>2.34</v>
      </c>
      <c r="I17" s="43">
        <v>2.34</v>
      </c>
      <c r="J17" s="43">
        <v>2.34</v>
      </c>
      <c r="K17" s="210"/>
      <c r="L17" s="212"/>
      <c r="M17" s="43">
        <v>2.84</v>
      </c>
      <c r="N17" s="43">
        <v>2.84</v>
      </c>
      <c r="O17" s="43">
        <v>2.84</v>
      </c>
      <c r="P17" s="43">
        <v>2.84</v>
      </c>
      <c r="Q17" s="210"/>
      <c r="R17" s="77"/>
      <c r="S17" s="76">
        <v>0.86</v>
      </c>
      <c r="T17" s="77">
        <v>0.9</v>
      </c>
      <c r="U17" s="75"/>
      <c r="V17" s="76"/>
      <c r="W17" s="77"/>
      <c r="X17" s="76"/>
      <c r="Y17" s="77"/>
      <c r="Z17" s="77"/>
    </row>
    <row r="18" spans="1:26" s="59" customFormat="1" x14ac:dyDescent="0.25">
      <c r="A18" s="31">
        <v>2014</v>
      </c>
      <c r="B18" s="222">
        <v>0.32297447280799113</v>
      </c>
      <c r="C18" s="44"/>
      <c r="D18" s="185">
        <v>143</v>
      </c>
      <c r="E18" s="187">
        <v>0</v>
      </c>
      <c r="F18" s="62"/>
      <c r="G18" s="43">
        <v>1.5</v>
      </c>
      <c r="H18" s="43">
        <v>1.5</v>
      </c>
      <c r="I18" s="43">
        <v>1.5</v>
      </c>
      <c r="J18" s="43">
        <v>1.5</v>
      </c>
      <c r="K18" s="210"/>
      <c r="L18" s="212"/>
      <c r="M18" s="43">
        <v>0.96</v>
      </c>
      <c r="N18" s="43">
        <v>0.96</v>
      </c>
      <c r="O18" s="43">
        <v>0.96</v>
      </c>
      <c r="P18" s="43">
        <v>0.96</v>
      </c>
      <c r="Q18" s="210"/>
      <c r="R18" s="77"/>
      <c r="S18" s="76">
        <v>0.89</v>
      </c>
      <c r="T18" s="77">
        <v>0.9</v>
      </c>
      <c r="U18" s="75"/>
      <c r="V18" s="76"/>
      <c r="W18" s="77"/>
      <c r="X18" s="76"/>
      <c r="Y18" s="77"/>
      <c r="Z18" s="77"/>
    </row>
    <row r="19" spans="1:26" s="59" customFormat="1" x14ac:dyDescent="0.25">
      <c r="A19" s="31">
        <v>2015</v>
      </c>
      <c r="B19" s="222">
        <v>0.35719557195571955</v>
      </c>
      <c r="C19" s="44"/>
      <c r="D19" s="185">
        <v>143</v>
      </c>
      <c r="E19" s="187">
        <v>0</v>
      </c>
      <c r="F19" s="62"/>
      <c r="G19" s="43">
        <v>2.08</v>
      </c>
      <c r="H19" s="43">
        <v>2.08</v>
      </c>
      <c r="I19" s="43">
        <v>2.08</v>
      </c>
      <c r="J19" s="43">
        <v>2.08</v>
      </c>
      <c r="K19" s="210"/>
      <c r="L19" s="212"/>
      <c r="M19" s="43">
        <v>1.45</v>
      </c>
      <c r="N19" s="43">
        <v>1.45</v>
      </c>
      <c r="O19" s="43">
        <v>1.45</v>
      </c>
      <c r="P19" s="43">
        <v>1.45</v>
      </c>
      <c r="Q19" s="210"/>
      <c r="R19" s="77"/>
      <c r="S19" s="76">
        <v>0.92</v>
      </c>
      <c r="T19" s="77">
        <v>0.92</v>
      </c>
      <c r="U19" s="75"/>
      <c r="V19" s="76"/>
      <c r="W19" s="77"/>
      <c r="X19" s="76"/>
      <c r="Y19" s="77"/>
      <c r="Z19" s="77"/>
    </row>
    <row r="20" spans="1:26" s="59" customFormat="1" x14ac:dyDescent="0.25">
      <c r="A20" s="31">
        <v>2016</v>
      </c>
      <c r="B20" s="187">
        <v>0.3888888888888889</v>
      </c>
      <c r="C20" s="44"/>
      <c r="D20" s="185">
        <v>2841</v>
      </c>
      <c r="E20" s="187">
        <f>data!D12*0.03</f>
        <v>49.394274000000003</v>
      </c>
      <c r="F20" s="62"/>
      <c r="G20" s="43">
        <v>2.73</v>
      </c>
      <c r="H20" s="43">
        <v>2.73</v>
      </c>
      <c r="I20" s="43">
        <v>2.73</v>
      </c>
      <c r="J20" s="43">
        <v>2.73</v>
      </c>
      <c r="K20" s="210"/>
      <c r="L20" s="212"/>
      <c r="M20" s="43">
        <v>2.5499999999999998</v>
      </c>
      <c r="N20" s="43">
        <v>2.5499999999999998</v>
      </c>
      <c r="O20" s="43">
        <v>2.5499999999999998</v>
      </c>
      <c r="P20" s="43">
        <v>2.5499999999999998</v>
      </c>
      <c r="Q20" s="210"/>
      <c r="R20" s="77"/>
      <c r="S20" s="76">
        <v>0.95</v>
      </c>
      <c r="T20" s="77">
        <v>0.94</v>
      </c>
      <c r="U20" s="75"/>
      <c r="V20" s="76"/>
      <c r="W20" s="77"/>
      <c r="X20" s="76"/>
      <c r="Y20" s="77"/>
      <c r="Z20" s="77"/>
    </row>
    <row r="21" spans="1:26" s="59" customFormat="1" x14ac:dyDescent="0.25">
      <c r="A21" s="31">
        <v>2017</v>
      </c>
      <c r="B21" s="222">
        <v>0.49761417859577367</v>
      </c>
      <c r="C21" s="44"/>
      <c r="D21" s="185">
        <v>3727</v>
      </c>
      <c r="E21" s="187">
        <f>data!D13*0.07</f>
        <v>131.75528800000001</v>
      </c>
      <c r="F21" s="62"/>
      <c r="G21" s="43">
        <v>2.71</v>
      </c>
      <c r="H21" s="43">
        <v>2.71</v>
      </c>
      <c r="I21" s="43">
        <v>2.71</v>
      </c>
      <c r="J21" s="43">
        <v>2.71</v>
      </c>
      <c r="K21" s="210"/>
      <c r="L21" s="212"/>
      <c r="M21" s="43">
        <v>2.23</v>
      </c>
      <c r="N21" s="43">
        <v>2.23</v>
      </c>
      <c r="O21" s="43">
        <v>2.23</v>
      </c>
      <c r="P21" s="43">
        <v>2.23</v>
      </c>
      <c r="Q21" s="210"/>
      <c r="R21" s="211"/>
      <c r="S21" s="76"/>
      <c r="T21" s="77"/>
      <c r="U21" s="75"/>
      <c r="V21" s="76"/>
      <c r="W21" s="77"/>
      <c r="X21" s="76"/>
      <c r="Y21" s="77"/>
      <c r="Z21" s="77"/>
    </row>
    <row r="22" spans="1:26" s="59" customFormat="1" x14ac:dyDescent="0.25">
      <c r="A22" s="31">
        <v>2018</v>
      </c>
      <c r="B22" s="223">
        <v>0.53368660105980315</v>
      </c>
      <c r="C22" s="44"/>
      <c r="D22" s="185">
        <v>3995</v>
      </c>
      <c r="E22" s="187">
        <f>data!D14*0.07</f>
        <v>149.30809600000001</v>
      </c>
      <c r="F22" s="62"/>
      <c r="G22" s="43">
        <v>2.75</v>
      </c>
      <c r="H22" s="43">
        <v>2.75</v>
      </c>
      <c r="I22" s="43">
        <v>2.75</v>
      </c>
      <c r="J22" s="43">
        <v>2.75</v>
      </c>
      <c r="K22" s="210"/>
      <c r="L22" s="212"/>
      <c r="M22" s="43">
        <v>2.2599999999999998</v>
      </c>
      <c r="N22" s="43">
        <v>2.2599999999999998</v>
      </c>
      <c r="O22" s="43">
        <v>2.2599999999999998</v>
      </c>
      <c r="P22" s="43">
        <v>2.2599999999999998</v>
      </c>
      <c r="Q22" s="210"/>
      <c r="R22" s="77"/>
      <c r="S22" s="76"/>
      <c r="T22" s="77"/>
      <c r="U22" s="75"/>
      <c r="V22" s="76"/>
      <c r="W22" s="77"/>
      <c r="X22" s="76"/>
      <c r="Y22" s="77"/>
      <c r="Z22" s="77"/>
    </row>
    <row r="23" spans="1:26" s="59" customFormat="1" x14ac:dyDescent="0.25">
      <c r="A23" s="31">
        <v>2019</v>
      </c>
      <c r="B23" s="223">
        <v>0.59571788413098237</v>
      </c>
      <c r="C23" s="44"/>
      <c r="D23" s="185">
        <v>4525</v>
      </c>
      <c r="E23" s="187">
        <f>data!D15*0.07</f>
        <v>164.58356600000002</v>
      </c>
      <c r="F23" s="62"/>
      <c r="G23" s="189"/>
      <c r="H23" s="190"/>
      <c r="I23" s="191"/>
      <c r="J23" s="190"/>
      <c r="K23" s="210"/>
      <c r="L23" s="212"/>
      <c r="M23" s="189"/>
      <c r="N23" s="190"/>
      <c r="O23" s="191"/>
      <c r="P23" s="190"/>
      <c r="Q23" s="210"/>
      <c r="R23" s="77"/>
      <c r="S23" s="76"/>
      <c r="T23" s="77"/>
      <c r="U23" s="75"/>
      <c r="V23" s="76"/>
      <c r="W23" s="77"/>
      <c r="X23" s="76"/>
      <c r="Y23" s="77"/>
      <c r="Z23" s="77"/>
    </row>
    <row r="24" spans="1:26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4"/>
      <c r="I24" s="165"/>
      <c r="J24" s="164"/>
      <c r="K24" s="210"/>
      <c r="L24" s="211"/>
      <c r="M24" s="75"/>
      <c r="N24" s="164"/>
      <c r="O24" s="165"/>
      <c r="P24" s="164"/>
      <c r="Q24" s="210"/>
      <c r="R24" s="77"/>
      <c r="S24" s="76"/>
      <c r="T24" s="77"/>
      <c r="U24" s="75"/>
      <c r="V24" s="76"/>
      <c r="W24" s="77"/>
      <c r="X24" s="76"/>
      <c r="Y24" s="77"/>
      <c r="Z24" s="77"/>
    </row>
    <row r="25" spans="1:26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4"/>
      <c r="I25" s="165"/>
      <c r="J25" s="164"/>
      <c r="K25" s="165"/>
      <c r="L25" s="77"/>
      <c r="M25" s="75"/>
      <c r="N25" s="164"/>
      <c r="O25" s="165"/>
      <c r="P25" s="164"/>
      <c r="Q25" s="165"/>
      <c r="R25" s="77"/>
      <c r="S25" s="76"/>
      <c r="T25" s="77"/>
      <c r="U25" s="75"/>
      <c r="V25" s="76"/>
      <c r="W25" s="77"/>
      <c r="X25" s="76"/>
      <c r="Y25" s="77"/>
      <c r="Z25" s="77"/>
    </row>
    <row r="26" spans="1:26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4"/>
      <c r="I26" s="165"/>
      <c r="J26" s="164"/>
      <c r="K26" s="165"/>
      <c r="L26" s="77"/>
      <c r="M26" s="75"/>
      <c r="N26" s="164"/>
      <c r="O26" s="165"/>
      <c r="P26" s="164"/>
      <c r="Q26" s="165"/>
      <c r="R26" s="77"/>
      <c r="S26" s="76"/>
      <c r="T26" s="77"/>
      <c r="U26" s="75"/>
      <c r="V26" s="76"/>
      <c r="W26" s="77"/>
      <c r="X26" s="76"/>
      <c r="Y26" s="77"/>
      <c r="Z26" s="77"/>
    </row>
    <row r="27" spans="1:26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4"/>
      <c r="I27" s="165"/>
      <c r="J27" s="164"/>
      <c r="K27" s="165"/>
      <c r="L27" s="77"/>
      <c r="M27" s="75"/>
      <c r="N27" s="164"/>
      <c r="O27" s="165"/>
      <c r="P27" s="164"/>
      <c r="Q27" s="165"/>
      <c r="R27" s="77"/>
      <c r="S27" s="76"/>
      <c r="T27" s="77"/>
      <c r="U27" s="75"/>
      <c r="V27" s="76"/>
      <c r="W27" s="77"/>
      <c r="X27" s="76"/>
      <c r="Y27" s="77"/>
      <c r="Z27" s="77"/>
    </row>
    <row r="28" spans="1:26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4"/>
      <c r="I28" s="165"/>
      <c r="J28" s="164"/>
      <c r="K28" s="165"/>
      <c r="L28" s="77"/>
      <c r="M28" s="75"/>
      <c r="N28" s="164"/>
      <c r="O28" s="165"/>
      <c r="P28" s="164"/>
      <c r="Q28" s="165"/>
      <c r="R28" s="77"/>
      <c r="S28" s="76"/>
      <c r="T28" s="77"/>
      <c r="U28" s="75"/>
      <c r="V28" s="76"/>
      <c r="W28" s="77"/>
      <c r="X28" s="76"/>
      <c r="Y28" s="77"/>
      <c r="Z28" s="77"/>
    </row>
    <row r="29" spans="1:26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4"/>
      <c r="I29" s="165"/>
      <c r="J29" s="164"/>
      <c r="K29" s="165"/>
      <c r="L29" s="77"/>
      <c r="M29" s="75"/>
      <c r="N29" s="164"/>
      <c r="O29" s="165"/>
      <c r="P29" s="164"/>
      <c r="Q29" s="165"/>
      <c r="R29" s="77"/>
      <c r="S29" s="76"/>
      <c r="T29" s="77"/>
      <c r="U29" s="75"/>
      <c r="V29" s="76"/>
      <c r="W29" s="77"/>
      <c r="X29" s="76"/>
      <c r="Y29" s="77"/>
      <c r="Z29" s="77"/>
    </row>
    <row r="30" spans="1:26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4"/>
      <c r="I30" s="165"/>
      <c r="J30" s="164"/>
      <c r="K30" s="165"/>
      <c r="L30" s="77"/>
      <c r="M30" s="75"/>
      <c r="N30" s="164"/>
      <c r="O30" s="165"/>
      <c r="P30" s="164"/>
      <c r="Q30" s="165"/>
      <c r="R30" s="77"/>
      <c r="S30" s="76"/>
      <c r="T30" s="77"/>
      <c r="U30" s="75"/>
      <c r="V30" s="76"/>
      <c r="W30" s="77"/>
      <c r="X30" s="76"/>
      <c r="Y30" s="77"/>
      <c r="Z30" s="77"/>
    </row>
    <row r="31" spans="1:26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4"/>
      <c r="I31" s="165"/>
      <c r="J31" s="164"/>
      <c r="K31" s="165"/>
      <c r="L31" s="77"/>
      <c r="M31" s="75"/>
      <c r="N31" s="164"/>
      <c r="O31" s="165"/>
      <c r="P31" s="164"/>
      <c r="Q31" s="165"/>
      <c r="R31" s="77"/>
      <c r="S31" s="76"/>
      <c r="T31" s="77"/>
      <c r="U31" s="75"/>
      <c r="V31" s="76"/>
      <c r="W31" s="77"/>
      <c r="X31" s="76"/>
      <c r="Y31" s="77"/>
      <c r="Z31" s="77"/>
    </row>
    <row r="32" spans="1:26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4"/>
      <c r="I32" s="165"/>
      <c r="J32" s="164"/>
      <c r="K32" s="165"/>
      <c r="L32" s="77"/>
      <c r="M32" s="75"/>
      <c r="N32" s="164"/>
      <c r="O32" s="165"/>
      <c r="P32" s="164"/>
      <c r="Q32" s="165"/>
      <c r="R32" s="77"/>
      <c r="S32" s="76"/>
      <c r="T32" s="77"/>
      <c r="U32" s="75"/>
      <c r="V32" s="76"/>
      <c r="W32" s="77"/>
      <c r="X32" s="76"/>
      <c r="Y32" s="77"/>
      <c r="Z32" s="77"/>
    </row>
    <row r="33" spans="1:26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4"/>
      <c r="I33" s="165"/>
      <c r="J33" s="164"/>
      <c r="K33" s="165"/>
      <c r="L33" s="77"/>
      <c r="M33" s="75"/>
      <c r="N33" s="164"/>
      <c r="O33" s="165"/>
      <c r="P33" s="164"/>
      <c r="Q33" s="165"/>
      <c r="R33" s="77"/>
      <c r="S33" s="76"/>
      <c r="T33" s="77"/>
      <c r="U33" s="75"/>
      <c r="V33" s="76"/>
      <c r="W33" s="77"/>
      <c r="X33" s="76"/>
      <c r="Y33" s="77"/>
      <c r="Z33" s="77"/>
    </row>
    <row r="34" spans="1:26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66"/>
      <c r="I34" s="167"/>
      <c r="J34" s="166"/>
      <c r="K34" s="167"/>
      <c r="L34" s="80"/>
      <c r="M34" s="78"/>
      <c r="N34" s="166"/>
      <c r="O34" s="167"/>
      <c r="P34" s="166"/>
      <c r="Q34" s="167"/>
      <c r="R34" s="80"/>
      <c r="S34" s="79">
        <v>0.99</v>
      </c>
      <c r="T34" s="80">
        <v>0.99</v>
      </c>
      <c r="U34" s="78"/>
      <c r="V34" s="79"/>
      <c r="W34" s="80"/>
      <c r="X34" s="79"/>
      <c r="Y34" s="80"/>
      <c r="Z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4"/>
  <sheetViews>
    <sheetView zoomScale="70" zoomScaleNormal="70" workbookViewId="0">
      <selection activeCell="D22" sqref="D22"/>
    </sheetView>
  </sheetViews>
  <sheetFormatPr defaultRowHeight="15" x14ac:dyDescent="0.25"/>
  <cols>
    <col min="1" max="1" width="9" style="44" bestFit="1" customWidth="1"/>
    <col min="2" max="2" width="11" style="60" bestFit="1" customWidth="1"/>
    <col min="3" max="3" width="11" style="60" customWidth="1"/>
    <col min="4" max="4" width="15.28515625" style="60" bestFit="1" customWidth="1"/>
    <col min="5" max="16384" width="9.140625" style="43"/>
  </cols>
  <sheetData>
    <row r="1" spans="1:4" x14ac:dyDescent="0.25">
      <c r="A1" s="30" t="s">
        <v>83</v>
      </c>
      <c r="B1" s="66" t="s">
        <v>93</v>
      </c>
      <c r="C1" s="68" t="s">
        <v>93</v>
      </c>
      <c r="D1" s="29" t="s">
        <v>94</v>
      </c>
    </row>
    <row r="2" spans="1:4" x14ac:dyDescent="0.25">
      <c r="A2" s="31" t="s">
        <v>84</v>
      </c>
      <c r="B2" s="69"/>
      <c r="C2" s="71"/>
      <c r="D2" s="44"/>
    </row>
    <row r="3" spans="1:4" x14ac:dyDescent="0.25">
      <c r="A3" s="31" t="s">
        <v>85</v>
      </c>
      <c r="B3" s="69" t="s">
        <v>97</v>
      </c>
      <c r="C3" s="71" t="s">
        <v>98</v>
      </c>
      <c r="D3" s="44"/>
    </row>
    <row r="4" spans="1:4" s="59" customFormat="1" x14ac:dyDescent="0.25">
      <c r="A4" s="30">
        <v>2000</v>
      </c>
      <c r="B4" s="72"/>
      <c r="C4" s="74"/>
      <c r="D4" s="29"/>
    </row>
    <row r="5" spans="1:4" s="59" customFormat="1" x14ac:dyDescent="0.25">
      <c r="A5" s="31">
        <v>2001</v>
      </c>
      <c r="B5" s="75"/>
      <c r="C5" s="77"/>
      <c r="D5" s="44"/>
    </row>
    <row r="6" spans="1:4" s="59" customFormat="1" x14ac:dyDescent="0.25">
      <c r="A6" s="31">
        <v>2002</v>
      </c>
      <c r="B6" s="75"/>
      <c r="C6" s="77"/>
      <c r="D6" s="44"/>
    </row>
    <row r="7" spans="1:4" s="59" customFormat="1" x14ac:dyDescent="0.25">
      <c r="A7" s="31">
        <v>2003</v>
      </c>
      <c r="B7" s="75"/>
      <c r="C7" s="77"/>
      <c r="D7" s="186"/>
    </row>
    <row r="8" spans="1:4" s="59" customFormat="1" x14ac:dyDescent="0.25">
      <c r="A8" s="31">
        <v>2004</v>
      </c>
      <c r="B8" s="75"/>
      <c r="C8" s="77"/>
      <c r="D8" s="186"/>
    </row>
    <row r="9" spans="1:4" s="59" customFormat="1" x14ac:dyDescent="0.25">
      <c r="A9" s="31">
        <v>2005</v>
      </c>
      <c r="B9" s="75"/>
      <c r="C9" s="77"/>
      <c r="D9" s="186"/>
    </row>
    <row r="10" spans="1:4" s="59" customFormat="1" x14ac:dyDescent="0.25">
      <c r="A10" s="31">
        <v>2006</v>
      </c>
      <c r="B10" s="75"/>
      <c r="C10" s="77"/>
      <c r="D10" s="186"/>
    </row>
    <row r="11" spans="1:4" s="59" customFormat="1" x14ac:dyDescent="0.25">
      <c r="A11" s="31">
        <v>2007</v>
      </c>
      <c r="B11" s="75"/>
      <c r="C11" s="77"/>
      <c r="D11" s="186"/>
    </row>
    <row r="12" spans="1:4" s="59" customFormat="1" x14ac:dyDescent="0.25">
      <c r="A12" s="31">
        <v>2008</v>
      </c>
      <c r="B12" s="75"/>
      <c r="C12" s="77"/>
      <c r="D12" s="186"/>
    </row>
    <row r="13" spans="1:4" s="59" customFormat="1" x14ac:dyDescent="0.25">
      <c r="A13" s="31">
        <v>2009</v>
      </c>
      <c r="B13" s="75">
        <v>0</v>
      </c>
      <c r="C13" s="77">
        <v>0</v>
      </c>
      <c r="D13" s="186"/>
    </row>
    <row r="14" spans="1:4" s="59" customFormat="1" x14ac:dyDescent="0.25">
      <c r="A14" s="31">
        <v>2010</v>
      </c>
      <c r="B14" s="75"/>
      <c r="C14" s="77"/>
      <c r="D14" s="186"/>
    </row>
    <row r="15" spans="1:4" s="59" customFormat="1" x14ac:dyDescent="0.25">
      <c r="A15" s="31">
        <v>2011</v>
      </c>
      <c r="B15" s="75"/>
      <c r="C15" s="77"/>
      <c r="D15" s="186"/>
    </row>
    <row r="16" spans="1:4" s="59" customFormat="1" x14ac:dyDescent="0.25">
      <c r="A16" s="31">
        <v>2012</v>
      </c>
      <c r="B16" s="75"/>
      <c r="C16" s="77"/>
      <c r="D16" s="186"/>
    </row>
    <row r="17" spans="1:4" s="59" customFormat="1" x14ac:dyDescent="0.25">
      <c r="A17" s="31">
        <v>2013</v>
      </c>
      <c r="B17" s="75"/>
      <c r="C17" s="77"/>
      <c r="D17" s="186"/>
    </row>
    <row r="18" spans="1:4" s="59" customFormat="1" x14ac:dyDescent="0.25">
      <c r="A18" s="31">
        <v>2014</v>
      </c>
      <c r="B18" s="75"/>
      <c r="C18" s="77"/>
      <c r="D18" s="222">
        <v>0.46</v>
      </c>
    </row>
    <row r="19" spans="1:4" s="59" customFormat="1" x14ac:dyDescent="0.25">
      <c r="A19" s="31">
        <v>2015</v>
      </c>
      <c r="B19" s="75"/>
      <c r="C19" s="77"/>
      <c r="D19" s="222"/>
    </row>
    <row r="20" spans="1:4" s="59" customFormat="1" x14ac:dyDescent="0.25">
      <c r="A20" s="31">
        <v>2016</v>
      </c>
      <c r="B20" s="75"/>
      <c r="C20" s="77"/>
      <c r="D20" s="187"/>
    </row>
    <row r="21" spans="1:4" s="59" customFormat="1" x14ac:dyDescent="0.25">
      <c r="A21" s="31">
        <v>2017</v>
      </c>
      <c r="B21" s="75"/>
      <c r="C21" s="77"/>
      <c r="D21" s="222"/>
    </row>
    <row r="22" spans="1:4" s="59" customFormat="1" x14ac:dyDescent="0.25">
      <c r="A22" s="31">
        <v>2018</v>
      </c>
      <c r="B22" s="75"/>
      <c r="C22" s="77"/>
      <c r="D22" s="223"/>
    </row>
    <row r="23" spans="1:4" s="59" customFormat="1" x14ac:dyDescent="0.25">
      <c r="A23" s="31">
        <v>2019</v>
      </c>
      <c r="B23" s="75"/>
      <c r="C23" s="77"/>
      <c r="D23" s="223"/>
    </row>
    <row r="24" spans="1:4" s="59" customFormat="1" x14ac:dyDescent="0.25">
      <c r="A24" s="63">
        <v>2020</v>
      </c>
      <c r="B24" s="78"/>
      <c r="C24" s="80"/>
      <c r="D24" s="44"/>
    </row>
    <row r="25" spans="1:4" x14ac:dyDescent="0.25">
      <c r="D25" s="44"/>
    </row>
    <row r="26" spans="1:4" x14ac:dyDescent="0.25">
      <c r="D26" s="44"/>
    </row>
    <row r="27" spans="1:4" x14ac:dyDescent="0.25">
      <c r="D27" s="44"/>
    </row>
    <row r="28" spans="1:4" x14ac:dyDescent="0.25">
      <c r="D28" s="44"/>
    </row>
    <row r="29" spans="1:4" x14ac:dyDescent="0.25">
      <c r="D29" s="44"/>
    </row>
    <row r="30" spans="1:4" x14ac:dyDescent="0.25">
      <c r="D30" s="44"/>
    </row>
    <row r="31" spans="1:4" x14ac:dyDescent="0.25">
      <c r="D31" s="44"/>
    </row>
    <row r="32" spans="1:4" x14ac:dyDescent="0.25">
      <c r="D32" s="44"/>
    </row>
    <row r="33" spans="4:4" x14ac:dyDescent="0.25">
      <c r="D33" s="44"/>
    </row>
    <row r="34" spans="4:4" x14ac:dyDescent="0.25">
      <c r="D34" s="61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4"/>
  <sheetViews>
    <sheetView zoomScale="70" zoomScaleNormal="70" workbookViewId="0">
      <selection sqref="A1:XFD1048576"/>
    </sheetView>
  </sheetViews>
  <sheetFormatPr defaultRowHeight="15" x14ac:dyDescent="0.25"/>
  <cols>
    <col min="1" max="1" width="9" style="44" bestFit="1" customWidth="1"/>
    <col min="2" max="2" width="19.85546875" style="60" bestFit="1" customWidth="1"/>
    <col min="3" max="3" width="28" style="60" bestFit="1" customWidth="1"/>
    <col min="4" max="16384" width="9.140625" style="43"/>
  </cols>
  <sheetData>
    <row r="1" spans="1:3" x14ac:dyDescent="0.25">
      <c r="A1" s="30" t="s">
        <v>83</v>
      </c>
      <c r="B1" s="67" t="s">
        <v>78</v>
      </c>
      <c r="C1" s="68" t="s">
        <v>78</v>
      </c>
    </row>
    <row r="2" spans="1:3" x14ac:dyDescent="0.25">
      <c r="A2" s="31" t="s">
        <v>84</v>
      </c>
      <c r="B2" s="70"/>
      <c r="C2" s="71"/>
    </row>
    <row r="3" spans="1:3" x14ac:dyDescent="0.25">
      <c r="A3" s="31" t="s">
        <v>85</v>
      </c>
      <c r="B3" s="70" t="s">
        <v>80</v>
      </c>
      <c r="C3" s="71" t="s">
        <v>81</v>
      </c>
    </row>
    <row r="4" spans="1:3" s="59" customFormat="1" x14ac:dyDescent="0.25">
      <c r="A4" s="30">
        <v>2000</v>
      </c>
      <c r="B4" s="73"/>
      <c r="C4" s="74"/>
    </row>
    <row r="5" spans="1:3" s="59" customFormat="1" x14ac:dyDescent="0.25">
      <c r="A5" s="31">
        <v>2001</v>
      </c>
      <c r="B5" s="76"/>
      <c r="C5" s="77"/>
    </row>
    <row r="6" spans="1:3" s="59" customFormat="1" x14ac:dyDescent="0.25">
      <c r="A6" s="31">
        <v>2002</v>
      </c>
      <c r="B6" s="76"/>
      <c r="C6" s="77"/>
    </row>
    <row r="7" spans="1:3" s="59" customFormat="1" x14ac:dyDescent="0.25">
      <c r="A7" s="31">
        <v>2003</v>
      </c>
      <c r="B7" s="76"/>
      <c r="C7" s="77"/>
    </row>
    <row r="8" spans="1:3" s="59" customFormat="1" x14ac:dyDescent="0.25">
      <c r="A8" s="31">
        <v>2004</v>
      </c>
      <c r="B8" s="76"/>
      <c r="C8" s="77"/>
    </row>
    <row r="9" spans="1:3" s="59" customFormat="1" x14ac:dyDescent="0.25">
      <c r="A9" s="31">
        <v>2005</v>
      </c>
      <c r="B9" s="76"/>
      <c r="C9" s="77"/>
    </row>
    <row r="10" spans="1:3" s="59" customFormat="1" x14ac:dyDescent="0.25">
      <c r="A10" s="31">
        <v>2006</v>
      </c>
      <c r="B10" s="76"/>
      <c r="C10" s="77"/>
    </row>
    <row r="11" spans="1:3" s="59" customFormat="1" x14ac:dyDescent="0.25">
      <c r="A11" s="31">
        <v>2007</v>
      </c>
      <c r="B11" s="76">
        <v>0.75</v>
      </c>
      <c r="C11" s="77">
        <v>0.8</v>
      </c>
    </row>
    <row r="12" spans="1:3" s="59" customFormat="1" x14ac:dyDescent="0.25">
      <c r="A12" s="31">
        <v>2008</v>
      </c>
      <c r="B12" s="76"/>
      <c r="C12" s="77"/>
    </row>
    <row r="13" spans="1:3" s="59" customFormat="1" x14ac:dyDescent="0.25">
      <c r="A13" s="31">
        <v>2009</v>
      </c>
      <c r="B13" s="76"/>
      <c r="C13" s="77"/>
    </row>
    <row r="14" spans="1:3" s="59" customFormat="1" x14ac:dyDescent="0.25">
      <c r="A14" s="31">
        <v>2010</v>
      </c>
      <c r="B14" s="76">
        <v>0.75</v>
      </c>
      <c r="C14" s="77">
        <v>0.8</v>
      </c>
    </row>
    <row r="15" spans="1:3" s="59" customFormat="1" x14ac:dyDescent="0.25">
      <c r="A15" s="31">
        <v>2011</v>
      </c>
      <c r="B15" s="76"/>
      <c r="C15" s="77"/>
    </row>
    <row r="16" spans="1:3" s="59" customFormat="1" x14ac:dyDescent="0.25">
      <c r="A16" s="31">
        <v>2012</v>
      </c>
      <c r="B16" s="76">
        <v>0.82</v>
      </c>
      <c r="C16" s="77">
        <v>0.88</v>
      </c>
    </row>
    <row r="17" spans="1:3" s="59" customFormat="1" x14ac:dyDescent="0.25">
      <c r="A17" s="31">
        <v>2013</v>
      </c>
      <c r="B17" s="76">
        <v>0.86</v>
      </c>
      <c r="C17" s="77">
        <v>0.9</v>
      </c>
    </row>
    <row r="18" spans="1:3" s="59" customFormat="1" x14ac:dyDescent="0.25">
      <c r="A18" s="31">
        <v>2014</v>
      </c>
      <c r="B18" s="76">
        <v>0.89</v>
      </c>
      <c r="C18" s="77">
        <v>0.9</v>
      </c>
    </row>
    <row r="19" spans="1:3" s="59" customFormat="1" x14ac:dyDescent="0.25">
      <c r="A19" s="31">
        <v>2015</v>
      </c>
      <c r="B19" s="76">
        <v>0.92</v>
      </c>
      <c r="C19" s="77">
        <v>0.92</v>
      </c>
    </row>
    <row r="20" spans="1:3" s="59" customFormat="1" x14ac:dyDescent="0.25">
      <c r="A20" s="31">
        <v>2016</v>
      </c>
      <c r="B20" s="76">
        <v>0.95</v>
      </c>
      <c r="C20" s="77">
        <v>0.94</v>
      </c>
    </row>
    <row r="21" spans="1:3" s="59" customFormat="1" x14ac:dyDescent="0.25">
      <c r="A21" s="31">
        <v>2017</v>
      </c>
      <c r="B21" s="76"/>
      <c r="C21" s="77"/>
    </row>
    <row r="22" spans="1:3" s="59" customFormat="1" x14ac:dyDescent="0.25">
      <c r="A22" s="31">
        <v>2018</v>
      </c>
      <c r="B22" s="76"/>
      <c r="C22" s="77"/>
    </row>
    <row r="23" spans="1:3" s="59" customFormat="1" x14ac:dyDescent="0.25">
      <c r="A23" s="31">
        <v>2019</v>
      </c>
      <c r="B23" s="76"/>
      <c r="C23" s="77"/>
    </row>
    <row r="24" spans="1:3" x14ac:dyDescent="0.25">
      <c r="A24" s="44">
        <v>2020</v>
      </c>
      <c r="B24" s="76"/>
      <c r="C24" s="77"/>
    </row>
    <row r="25" spans="1:3" x14ac:dyDescent="0.25">
      <c r="B25" s="76"/>
      <c r="C25" s="77"/>
    </row>
    <row r="26" spans="1:3" x14ac:dyDescent="0.25">
      <c r="B26" s="76"/>
      <c r="C26" s="77"/>
    </row>
    <row r="27" spans="1:3" x14ac:dyDescent="0.25">
      <c r="B27" s="76"/>
      <c r="C27" s="77"/>
    </row>
    <row r="28" spans="1:3" x14ac:dyDescent="0.25">
      <c r="B28" s="76"/>
      <c r="C28" s="77"/>
    </row>
    <row r="29" spans="1:3" x14ac:dyDescent="0.25">
      <c r="B29" s="76"/>
      <c r="C29" s="77"/>
    </row>
    <row r="30" spans="1:3" x14ac:dyDescent="0.25">
      <c r="B30" s="76"/>
      <c r="C30" s="77"/>
    </row>
    <row r="31" spans="1:3" x14ac:dyDescent="0.25">
      <c r="B31" s="76"/>
      <c r="C31" s="77"/>
    </row>
    <row r="32" spans="1:3" x14ac:dyDescent="0.25">
      <c r="B32" s="76"/>
      <c r="C32" s="77"/>
    </row>
    <row r="33" spans="2:3" x14ac:dyDescent="0.25">
      <c r="B33" s="76"/>
      <c r="C33" s="77"/>
    </row>
    <row r="34" spans="2:3" x14ac:dyDescent="0.25">
      <c r="B34" s="79"/>
      <c r="C34" s="80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workbookViewId="0">
      <selection activeCell="H20" sqref="H20"/>
    </sheetView>
  </sheetViews>
  <sheetFormatPr defaultRowHeight="15" x14ac:dyDescent="0.25"/>
  <cols>
    <col min="1" max="1" width="9" style="44" bestFit="1" customWidth="1"/>
    <col min="2" max="2" width="10.7109375" style="60" bestFit="1" customWidth="1"/>
    <col min="3" max="3" width="9.7109375" style="60" bestFit="1" customWidth="1"/>
    <col min="4" max="4" width="10.7109375" style="60" bestFit="1" customWidth="1"/>
    <col min="5" max="5" width="9.7109375" style="60" bestFit="1" customWidth="1"/>
    <col min="6" max="16384" width="9.140625" style="43"/>
  </cols>
  <sheetData>
    <row r="1" spans="1:5" x14ac:dyDescent="0.25">
      <c r="A1" s="30" t="s">
        <v>83</v>
      </c>
      <c r="B1" s="159" t="s">
        <v>69</v>
      </c>
      <c r="C1" s="68" t="s">
        <v>69</v>
      </c>
      <c r="D1" s="159" t="s">
        <v>69</v>
      </c>
      <c r="E1" s="68" t="s">
        <v>69</v>
      </c>
    </row>
    <row r="2" spans="1:5" x14ac:dyDescent="0.25">
      <c r="A2" s="31" t="s">
        <v>84</v>
      </c>
      <c r="B2" s="161" t="s">
        <v>128</v>
      </c>
      <c r="C2" s="71" t="s">
        <v>129</v>
      </c>
      <c r="D2" s="161" t="s">
        <v>128</v>
      </c>
      <c r="E2" s="71" t="s">
        <v>129</v>
      </c>
    </row>
    <row r="3" spans="1:5" x14ac:dyDescent="0.25">
      <c r="A3" s="31" t="s">
        <v>85</v>
      </c>
      <c r="B3" s="60" t="s">
        <v>97</v>
      </c>
      <c r="C3" s="60" t="s">
        <v>97</v>
      </c>
      <c r="D3" s="60" t="s">
        <v>98</v>
      </c>
      <c r="E3" s="60" t="s">
        <v>98</v>
      </c>
    </row>
    <row r="4" spans="1:5" s="59" customFormat="1" x14ac:dyDescent="0.25">
      <c r="A4" s="30">
        <v>2000</v>
      </c>
      <c r="B4" s="163"/>
      <c r="C4" s="74"/>
      <c r="D4" s="163"/>
      <c r="E4" s="74"/>
    </row>
    <row r="5" spans="1:5" s="59" customFormat="1" x14ac:dyDescent="0.25">
      <c r="A5" s="31">
        <v>2001</v>
      </c>
      <c r="B5" s="165"/>
      <c r="C5" s="77"/>
      <c r="D5" s="165"/>
      <c r="E5" s="77"/>
    </row>
    <row r="6" spans="1:5" s="59" customFormat="1" x14ac:dyDescent="0.25">
      <c r="A6" s="31">
        <v>2002</v>
      </c>
      <c r="B6" s="165"/>
      <c r="C6" s="77"/>
      <c r="D6" s="165"/>
      <c r="E6" s="77"/>
    </row>
    <row r="7" spans="1:5" s="59" customFormat="1" x14ac:dyDescent="0.25">
      <c r="A7" s="31">
        <v>2003</v>
      </c>
      <c r="B7" s="165"/>
      <c r="C7" s="77"/>
      <c r="D7" s="165"/>
      <c r="E7" s="77"/>
    </row>
    <row r="8" spans="1:5" s="59" customFormat="1" x14ac:dyDescent="0.25">
      <c r="A8" s="31">
        <v>2004</v>
      </c>
      <c r="B8" s="165"/>
      <c r="C8" s="77"/>
      <c r="D8" s="165"/>
      <c r="E8" s="77"/>
    </row>
    <row r="9" spans="1:5" s="59" customFormat="1" x14ac:dyDescent="0.25">
      <c r="A9" s="31">
        <v>2005</v>
      </c>
      <c r="B9" s="165"/>
      <c r="C9" s="77"/>
      <c r="D9" s="165"/>
      <c r="E9" s="77"/>
    </row>
    <row r="10" spans="1:5" s="59" customFormat="1" x14ac:dyDescent="0.25">
      <c r="A10" s="31">
        <v>2006</v>
      </c>
      <c r="B10" s="165"/>
      <c r="C10" s="77"/>
      <c r="D10" s="165"/>
      <c r="E10" s="77"/>
    </row>
    <row r="11" spans="1:5" s="59" customFormat="1" x14ac:dyDescent="0.25">
      <c r="A11" s="31">
        <v>2007</v>
      </c>
      <c r="B11" s="165"/>
      <c r="C11" s="77"/>
      <c r="D11" s="165"/>
      <c r="E11" s="77"/>
    </row>
    <row r="12" spans="1:5" s="59" customFormat="1" x14ac:dyDescent="0.25">
      <c r="A12" s="31">
        <v>2008</v>
      </c>
      <c r="B12" s="165"/>
      <c r="C12" s="77"/>
      <c r="D12" s="165"/>
      <c r="E12" s="77"/>
    </row>
    <row r="13" spans="1:5" s="59" customFormat="1" x14ac:dyDescent="0.25">
      <c r="A13" s="31">
        <v>2009</v>
      </c>
      <c r="B13" s="165"/>
      <c r="C13" s="77"/>
      <c r="D13" s="165"/>
      <c r="E13" s="77"/>
    </row>
    <row r="14" spans="1:5" s="59" customFormat="1" x14ac:dyDescent="0.25">
      <c r="A14" s="31">
        <v>2010</v>
      </c>
      <c r="B14" s="210"/>
      <c r="C14" s="211"/>
      <c r="D14" s="210"/>
      <c r="E14" s="211"/>
    </row>
    <row r="15" spans="1:5" s="59" customFormat="1" x14ac:dyDescent="0.25">
      <c r="A15" s="31">
        <v>2011</v>
      </c>
      <c r="B15" s="210"/>
      <c r="C15" s="211"/>
      <c r="D15" s="210"/>
      <c r="E15" s="211"/>
    </row>
    <row r="16" spans="1:5" s="59" customFormat="1" x14ac:dyDescent="0.25">
      <c r="A16" s="31">
        <v>2012</v>
      </c>
      <c r="B16" s="210"/>
      <c r="C16" s="212"/>
      <c r="D16" s="210"/>
      <c r="E16" s="212"/>
    </row>
    <row r="17" spans="1:5" s="59" customFormat="1" x14ac:dyDescent="0.25">
      <c r="A17" s="31">
        <v>2013</v>
      </c>
      <c r="B17" s="210"/>
      <c r="C17" s="212"/>
      <c r="D17" s="210"/>
      <c r="E17" s="212"/>
    </row>
    <row r="18" spans="1:5" s="59" customFormat="1" x14ac:dyDescent="0.25">
      <c r="A18" s="31">
        <v>2014</v>
      </c>
      <c r="B18" s="210"/>
      <c r="C18" s="212"/>
      <c r="D18" s="210"/>
      <c r="E18" s="212"/>
    </row>
    <row r="19" spans="1:5" s="59" customFormat="1" x14ac:dyDescent="0.25">
      <c r="A19" s="31">
        <v>2015</v>
      </c>
      <c r="B19" s="210"/>
      <c r="C19" s="212"/>
      <c r="D19" s="210"/>
      <c r="E19" s="212"/>
    </row>
    <row r="20" spans="1:5" s="59" customFormat="1" x14ac:dyDescent="0.25">
      <c r="A20" s="31">
        <v>2016</v>
      </c>
      <c r="B20" s="210"/>
      <c r="C20" s="212"/>
      <c r="D20" s="210"/>
      <c r="E20" s="212"/>
    </row>
    <row r="21" spans="1:5" s="59" customFormat="1" x14ac:dyDescent="0.25">
      <c r="A21" s="31">
        <v>2017</v>
      </c>
      <c r="B21" s="210"/>
      <c r="C21" s="212"/>
      <c r="D21" s="210"/>
      <c r="E21" s="212"/>
    </row>
    <row r="22" spans="1:5" s="59" customFormat="1" x14ac:dyDescent="0.25">
      <c r="A22" s="31">
        <v>2018</v>
      </c>
      <c r="B22" s="210"/>
      <c r="C22" s="212"/>
      <c r="D22" s="210"/>
      <c r="E22" s="212"/>
    </row>
    <row r="23" spans="1:5" s="59" customFormat="1" x14ac:dyDescent="0.25">
      <c r="A23" s="31">
        <v>2019</v>
      </c>
      <c r="B23" s="163">
        <v>0.25</v>
      </c>
      <c r="C23" s="74">
        <v>0.25</v>
      </c>
      <c r="D23" s="163">
        <v>0.25</v>
      </c>
      <c r="E23" s="74">
        <v>0.25</v>
      </c>
    </row>
    <row r="24" spans="1:5" x14ac:dyDescent="0.25">
      <c r="A24" s="44">
        <v>2020</v>
      </c>
      <c r="B24" s="210">
        <v>1</v>
      </c>
      <c r="C24" s="211">
        <v>1</v>
      </c>
      <c r="D24" s="210">
        <v>1</v>
      </c>
      <c r="E24" s="211">
        <v>1</v>
      </c>
    </row>
    <row r="25" spans="1:5" x14ac:dyDescent="0.25">
      <c r="B25" s="165"/>
      <c r="C25" s="77"/>
      <c r="D25" s="165"/>
      <c r="E25" s="77"/>
    </row>
    <row r="26" spans="1:5" x14ac:dyDescent="0.25">
      <c r="B26" s="165"/>
      <c r="C26" s="77"/>
      <c r="D26" s="165"/>
      <c r="E26" s="77"/>
    </row>
    <row r="27" spans="1:5" x14ac:dyDescent="0.25">
      <c r="B27" s="165"/>
      <c r="C27" s="77"/>
      <c r="D27" s="165"/>
      <c r="E27" s="77"/>
    </row>
    <row r="28" spans="1:5" x14ac:dyDescent="0.25">
      <c r="B28" s="165"/>
      <c r="C28" s="77"/>
      <c r="D28" s="165"/>
      <c r="E28" s="77"/>
    </row>
    <row r="29" spans="1:5" x14ac:dyDescent="0.25">
      <c r="B29" s="165"/>
      <c r="C29" s="77"/>
      <c r="D29" s="165"/>
      <c r="E29" s="77"/>
    </row>
    <row r="30" spans="1:5" x14ac:dyDescent="0.25">
      <c r="B30" s="165"/>
      <c r="C30" s="77"/>
      <c r="D30" s="165"/>
      <c r="E30" s="77"/>
    </row>
    <row r="31" spans="1:5" x14ac:dyDescent="0.25">
      <c r="B31" s="165"/>
      <c r="C31" s="77"/>
      <c r="D31" s="165"/>
      <c r="E31" s="77"/>
    </row>
    <row r="32" spans="1:5" x14ac:dyDescent="0.25">
      <c r="B32" s="165"/>
      <c r="C32" s="77"/>
      <c r="D32" s="165"/>
      <c r="E32" s="77"/>
    </row>
    <row r="33" spans="2:5" x14ac:dyDescent="0.25">
      <c r="B33" s="165"/>
      <c r="C33" s="77"/>
      <c r="D33" s="165"/>
      <c r="E33" s="77"/>
    </row>
    <row r="34" spans="2:5" x14ac:dyDescent="0.25">
      <c r="B34" s="167"/>
      <c r="C34" s="80"/>
      <c r="D34" s="167"/>
      <c r="E34" s="8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4"/>
  <sheetViews>
    <sheetView zoomScale="70" zoomScaleNormal="70" workbookViewId="0">
      <selection activeCell="J10" sqref="J10"/>
    </sheetView>
  </sheetViews>
  <sheetFormatPr defaultRowHeight="15" x14ac:dyDescent="0.25"/>
  <cols>
    <col min="1" max="1" width="9" style="44" bestFit="1" customWidth="1"/>
    <col min="2" max="2" width="15.28515625" style="60" bestFit="1" customWidth="1"/>
    <col min="3" max="3" width="15.28515625" style="60" customWidth="1"/>
    <col min="4" max="4" width="11" style="60" bestFit="1" customWidth="1"/>
    <col min="5" max="5" width="11" style="60" customWidth="1"/>
    <col min="6" max="6" width="13.140625" style="60" bestFit="1" customWidth="1"/>
    <col min="7" max="7" width="14.7109375" style="60" bestFit="1" customWidth="1"/>
    <col min="8" max="8" width="14.42578125" style="60" bestFit="1" customWidth="1"/>
    <col min="9" max="10" width="15" style="60" bestFit="1" customWidth="1"/>
    <col min="11" max="11" width="14.7109375" style="60" bestFit="1" customWidth="1"/>
    <col min="12" max="12" width="14.140625" style="60" bestFit="1" customWidth="1"/>
    <col min="13" max="13" width="19.85546875" style="60" bestFit="1" customWidth="1"/>
    <col min="14" max="14" width="28" style="60" bestFit="1" customWidth="1"/>
    <col min="15" max="15" width="14.42578125" style="60" bestFit="1" customWidth="1"/>
    <col min="16" max="16" width="19.85546875" style="60" bestFit="1" customWidth="1"/>
    <col min="17" max="17" width="28" style="60" bestFit="1" customWidth="1"/>
    <col min="18" max="18" width="14.42578125" style="60" bestFit="1" customWidth="1"/>
    <col min="19" max="19" width="15" style="60" bestFit="1" customWidth="1"/>
    <col min="20" max="20" width="12.28515625" style="60" bestFit="1" customWidth="1"/>
    <col min="21" max="21" width="14.42578125" style="60" bestFit="1" customWidth="1"/>
    <col min="22" max="22" width="15" style="60" bestFit="1" customWidth="1"/>
    <col min="23" max="23" width="12.28515625" style="60" bestFit="1" customWidth="1"/>
    <col min="24" max="29" width="16" style="60" bestFit="1" customWidth="1"/>
    <col min="30" max="31" width="28" style="60" customWidth="1"/>
    <col min="32" max="32" width="13.42578125" style="60" bestFit="1" customWidth="1"/>
    <col min="33" max="33" width="14.42578125" style="60" bestFit="1" customWidth="1"/>
    <col min="34" max="34" width="15" style="60" bestFit="1" customWidth="1"/>
    <col min="35" max="35" width="10.85546875" style="60" bestFit="1" customWidth="1"/>
    <col min="36" max="36" width="14.42578125" style="60" bestFit="1" customWidth="1"/>
    <col min="37" max="37" width="15" style="60" bestFit="1" customWidth="1"/>
    <col min="38" max="38" width="11" style="60" bestFit="1" customWidth="1"/>
  </cols>
  <sheetData>
    <row r="1" spans="1:38" x14ac:dyDescent="0.25">
      <c r="A1" s="30" t="s">
        <v>83</v>
      </c>
      <c r="B1" s="29" t="s">
        <v>94</v>
      </c>
      <c r="C1" s="29" t="s">
        <v>114</v>
      </c>
      <c r="D1" s="66" t="s">
        <v>93</v>
      </c>
      <c r="E1" s="68" t="s">
        <v>93</v>
      </c>
      <c r="F1" s="30" t="s">
        <v>22</v>
      </c>
      <c r="G1" s="66" t="s">
        <v>69</v>
      </c>
      <c r="H1" s="158" t="s">
        <v>69</v>
      </c>
      <c r="I1" s="159" t="s">
        <v>69</v>
      </c>
      <c r="J1" s="158" t="s">
        <v>69</v>
      </c>
      <c r="K1" s="159" t="s">
        <v>69</v>
      </c>
      <c r="L1" s="68" t="s">
        <v>69</v>
      </c>
      <c r="M1" s="67" t="s">
        <v>78</v>
      </c>
      <c r="N1" s="68" t="s">
        <v>78</v>
      </c>
      <c r="O1" s="66" t="s">
        <v>82</v>
      </c>
      <c r="P1" s="67" t="s">
        <v>82</v>
      </c>
      <c r="Q1" s="68" t="s">
        <v>82</v>
      </c>
      <c r="R1" s="81" t="s">
        <v>92</v>
      </c>
      <c r="S1" s="82" t="s">
        <v>92</v>
      </c>
      <c r="T1" s="168" t="s">
        <v>92</v>
      </c>
      <c r="U1" s="169" t="s">
        <v>92</v>
      </c>
      <c r="V1" s="82" t="s">
        <v>92</v>
      </c>
      <c r="W1" s="83" t="s">
        <v>92</v>
      </c>
      <c r="X1" s="81" t="s">
        <v>75</v>
      </c>
      <c r="Y1" s="82" t="s">
        <v>75</v>
      </c>
      <c r="Z1" s="148" t="s">
        <v>75</v>
      </c>
      <c r="AA1" s="149" t="s">
        <v>75</v>
      </c>
      <c r="AB1" s="82" t="s">
        <v>75</v>
      </c>
      <c r="AC1" s="83" t="s">
        <v>75</v>
      </c>
      <c r="AD1" s="96" t="s">
        <v>96</v>
      </c>
      <c r="AE1" s="96" t="s">
        <v>95</v>
      </c>
      <c r="AF1" s="81" t="s">
        <v>91</v>
      </c>
      <c r="AG1" s="81" t="s">
        <v>76</v>
      </c>
      <c r="AH1" s="82" t="s">
        <v>76</v>
      </c>
      <c r="AI1" s="82" t="s">
        <v>76</v>
      </c>
      <c r="AJ1" s="82" t="s">
        <v>77</v>
      </c>
      <c r="AK1" s="82" t="s">
        <v>77</v>
      </c>
      <c r="AL1" s="83" t="s">
        <v>77</v>
      </c>
    </row>
    <row r="2" spans="1:38" x14ac:dyDescent="0.25">
      <c r="A2" s="31" t="s">
        <v>84</v>
      </c>
      <c r="B2" s="44"/>
      <c r="C2" s="44"/>
      <c r="D2" s="69"/>
      <c r="E2" s="71"/>
      <c r="F2" s="31"/>
      <c r="G2" s="69" t="s">
        <v>70</v>
      </c>
      <c r="H2" s="160" t="s">
        <v>70</v>
      </c>
      <c r="I2" s="161" t="s">
        <v>71</v>
      </c>
      <c r="J2" s="160" t="s">
        <v>71</v>
      </c>
      <c r="K2" s="161" t="s">
        <v>72</v>
      </c>
      <c r="L2" s="71" t="s">
        <v>72</v>
      </c>
      <c r="M2" s="70"/>
      <c r="N2" s="71"/>
      <c r="O2" s="69"/>
      <c r="P2" s="70"/>
      <c r="Q2" s="71"/>
      <c r="R2" s="84" t="s">
        <v>70</v>
      </c>
      <c r="S2" s="85" t="s">
        <v>71</v>
      </c>
      <c r="T2" s="170" t="s">
        <v>72</v>
      </c>
      <c r="U2" s="171" t="s">
        <v>70</v>
      </c>
      <c r="V2" s="85" t="s">
        <v>71</v>
      </c>
      <c r="W2" s="86" t="s">
        <v>72</v>
      </c>
      <c r="X2" s="84" t="s">
        <v>70</v>
      </c>
      <c r="Y2" s="85" t="s">
        <v>71</v>
      </c>
      <c r="Z2" s="150" t="s">
        <v>72</v>
      </c>
      <c r="AA2" s="151" t="s">
        <v>70</v>
      </c>
      <c r="AB2" s="85" t="s">
        <v>71</v>
      </c>
      <c r="AC2" s="86" t="s">
        <v>72</v>
      </c>
      <c r="AD2" s="97"/>
      <c r="AE2" s="97"/>
      <c r="AF2" s="84"/>
      <c r="AG2" s="84" t="s">
        <v>70</v>
      </c>
      <c r="AH2" s="85" t="s">
        <v>71</v>
      </c>
      <c r="AI2" s="85" t="s">
        <v>72</v>
      </c>
      <c r="AJ2" s="85" t="s">
        <v>70</v>
      </c>
      <c r="AK2" s="85" t="s">
        <v>71</v>
      </c>
      <c r="AL2" s="86" t="s">
        <v>72</v>
      </c>
    </row>
    <row r="3" spans="1:38" x14ac:dyDescent="0.25">
      <c r="A3" s="31" t="s">
        <v>85</v>
      </c>
      <c r="B3" s="44"/>
      <c r="C3" s="44"/>
      <c r="D3" s="69" t="s">
        <v>97</v>
      </c>
      <c r="E3" s="71" t="s">
        <v>98</v>
      </c>
      <c r="F3" s="31"/>
      <c r="G3" s="69" t="s">
        <v>73</v>
      </c>
      <c r="H3" s="160" t="s">
        <v>74</v>
      </c>
      <c r="I3" s="161" t="s">
        <v>73</v>
      </c>
      <c r="J3" s="160" t="s">
        <v>74</v>
      </c>
      <c r="K3" s="161" t="s">
        <v>73</v>
      </c>
      <c r="L3" s="71" t="s">
        <v>74</v>
      </c>
      <c r="M3" s="70" t="s">
        <v>80</v>
      </c>
      <c r="N3" s="71" t="s">
        <v>81</v>
      </c>
      <c r="O3" s="69" t="s">
        <v>79</v>
      </c>
      <c r="P3" s="70" t="s">
        <v>80</v>
      </c>
      <c r="Q3" s="71" t="s">
        <v>81</v>
      </c>
      <c r="R3" s="84" t="s">
        <v>97</v>
      </c>
      <c r="S3" s="85" t="s">
        <v>97</v>
      </c>
      <c r="T3" s="170" t="s">
        <v>97</v>
      </c>
      <c r="U3" s="171" t="s">
        <v>98</v>
      </c>
      <c r="V3" s="85" t="s">
        <v>98</v>
      </c>
      <c r="W3" s="86" t="s">
        <v>98</v>
      </c>
      <c r="X3" s="84" t="s">
        <v>97</v>
      </c>
      <c r="Y3" s="85" t="s">
        <v>97</v>
      </c>
      <c r="Z3" s="150" t="s">
        <v>97</v>
      </c>
      <c r="AA3" s="151" t="s">
        <v>98</v>
      </c>
      <c r="AB3" s="85" t="s">
        <v>98</v>
      </c>
      <c r="AC3" s="86" t="s">
        <v>98</v>
      </c>
      <c r="AD3" s="97"/>
      <c r="AE3" s="97"/>
      <c r="AF3" s="84" t="s">
        <v>90</v>
      </c>
      <c r="AG3" s="84"/>
      <c r="AH3" s="85"/>
      <c r="AI3" s="85"/>
      <c r="AJ3" s="85"/>
      <c r="AK3" s="85"/>
      <c r="AL3" s="86"/>
    </row>
    <row r="4" spans="1:38" s="59" customFormat="1" x14ac:dyDescent="0.25">
      <c r="A4" s="30">
        <v>2000</v>
      </c>
      <c r="B4" s="29">
        <v>0.13</v>
      </c>
      <c r="C4" s="29">
        <v>0.97</v>
      </c>
      <c r="D4" s="72"/>
      <c r="E4" s="74">
        <v>0</v>
      </c>
      <c r="F4" s="65">
        <v>0.7</v>
      </c>
      <c r="G4" s="72">
        <v>1</v>
      </c>
      <c r="H4" s="162">
        <v>10</v>
      </c>
      <c r="I4" s="163">
        <v>0.5</v>
      </c>
      <c r="J4" s="162">
        <v>4</v>
      </c>
      <c r="K4" s="163">
        <f>3/12</f>
        <v>0.25</v>
      </c>
      <c r="L4" s="74">
        <f>3/12</f>
        <v>0.25</v>
      </c>
      <c r="M4" s="73"/>
      <c r="N4" s="74"/>
      <c r="O4" s="72">
        <v>1</v>
      </c>
      <c r="P4" s="73">
        <v>1</v>
      </c>
      <c r="Q4" s="74">
        <v>0.04</v>
      </c>
      <c r="R4" s="87">
        <v>1</v>
      </c>
      <c r="S4" s="88">
        <v>1</v>
      </c>
      <c r="T4" s="172">
        <v>0.03</v>
      </c>
      <c r="U4" s="173">
        <v>1</v>
      </c>
      <c r="V4" s="88">
        <v>1</v>
      </c>
      <c r="W4" s="89">
        <v>0.03</v>
      </c>
      <c r="X4" s="87">
        <v>1</v>
      </c>
      <c r="Y4" s="88">
        <v>0</v>
      </c>
      <c r="Z4" s="152">
        <v>0</v>
      </c>
      <c r="AA4" s="153">
        <v>1</v>
      </c>
      <c r="AB4" s="88">
        <v>0</v>
      </c>
      <c r="AC4" s="89">
        <v>0</v>
      </c>
      <c r="AD4" s="98">
        <v>1</v>
      </c>
      <c r="AE4" s="98">
        <v>1</v>
      </c>
      <c r="AF4" s="87">
        <v>1</v>
      </c>
      <c r="AG4" s="87">
        <v>0</v>
      </c>
      <c r="AH4" s="88">
        <v>0</v>
      </c>
      <c r="AI4" s="88">
        <v>0</v>
      </c>
      <c r="AJ4" s="88">
        <v>0</v>
      </c>
      <c r="AK4" s="88">
        <v>0</v>
      </c>
      <c r="AL4" s="89">
        <v>0</v>
      </c>
    </row>
    <row r="5" spans="1:38" s="59" customFormat="1" x14ac:dyDescent="0.25">
      <c r="A5" s="31">
        <v>2001</v>
      </c>
      <c r="B5" s="44"/>
      <c r="C5" s="44"/>
      <c r="D5" s="75"/>
      <c r="E5" s="77"/>
      <c r="F5" s="62"/>
      <c r="G5" s="75"/>
      <c r="H5" s="164"/>
      <c r="I5" s="165"/>
      <c r="J5" s="164"/>
      <c r="K5" s="165"/>
      <c r="L5" s="77"/>
      <c r="M5" s="76"/>
      <c r="N5" s="77"/>
      <c r="O5" s="75"/>
      <c r="P5" s="76"/>
      <c r="Q5" s="77"/>
      <c r="R5" s="90"/>
      <c r="S5" s="91"/>
      <c r="T5" s="174"/>
      <c r="U5" s="175"/>
      <c r="V5" s="91"/>
      <c r="W5" s="92"/>
      <c r="X5" s="90"/>
      <c r="Y5" s="91"/>
      <c r="Z5" s="154"/>
      <c r="AA5" s="155"/>
      <c r="AB5" s="91"/>
      <c r="AC5" s="92"/>
      <c r="AD5" s="99"/>
      <c r="AE5" s="99"/>
      <c r="AF5" s="90"/>
      <c r="AG5" s="90"/>
      <c r="AH5" s="91"/>
      <c r="AI5" s="91"/>
      <c r="AJ5" s="91"/>
      <c r="AK5" s="91"/>
      <c r="AL5" s="92"/>
    </row>
    <row r="6" spans="1:38" s="59" customFormat="1" x14ac:dyDescent="0.25">
      <c r="A6" s="31">
        <v>2002</v>
      </c>
      <c r="B6" s="44"/>
      <c r="C6" s="44"/>
      <c r="D6" s="75"/>
      <c r="E6" s="77"/>
      <c r="F6" s="62"/>
      <c r="G6" s="75"/>
      <c r="H6" s="164"/>
      <c r="I6" s="165"/>
      <c r="J6" s="164"/>
      <c r="K6" s="165"/>
      <c r="L6" s="77"/>
      <c r="M6" s="76"/>
      <c r="N6" s="77"/>
      <c r="O6" s="75"/>
      <c r="P6" s="76"/>
      <c r="Q6" s="77"/>
      <c r="R6" s="90"/>
      <c r="S6" s="91"/>
      <c r="T6" s="174"/>
      <c r="U6" s="175"/>
      <c r="V6" s="91"/>
      <c r="W6" s="92"/>
      <c r="X6" s="90"/>
      <c r="Y6" s="91"/>
      <c r="Z6" s="154"/>
      <c r="AA6" s="155"/>
      <c r="AB6" s="91"/>
      <c r="AC6" s="92"/>
      <c r="AD6" s="99"/>
      <c r="AE6" s="99"/>
      <c r="AF6" s="90"/>
      <c r="AG6" s="90"/>
      <c r="AH6" s="91"/>
      <c r="AI6" s="91"/>
      <c r="AJ6" s="91"/>
      <c r="AK6" s="91"/>
      <c r="AL6" s="92"/>
    </row>
    <row r="7" spans="1:38" s="59" customFormat="1" x14ac:dyDescent="0.25">
      <c r="A7" s="31">
        <v>2003</v>
      </c>
      <c r="B7" s="44"/>
      <c r="C7" s="44"/>
      <c r="D7" s="75"/>
      <c r="E7" s="77"/>
      <c r="F7" s="62"/>
      <c r="G7" s="75"/>
      <c r="H7" s="164"/>
      <c r="I7" s="165"/>
      <c r="J7" s="164"/>
      <c r="K7" s="165"/>
      <c r="L7" s="77"/>
      <c r="M7" s="76"/>
      <c r="N7" s="77"/>
      <c r="O7" s="75"/>
      <c r="P7" s="76"/>
      <c r="Q7" s="77"/>
      <c r="R7" s="90"/>
      <c r="S7" s="91"/>
      <c r="T7" s="174"/>
      <c r="U7" s="175"/>
      <c r="V7" s="91"/>
      <c r="W7" s="92"/>
      <c r="X7" s="90"/>
      <c r="Y7" s="91"/>
      <c r="Z7" s="154"/>
      <c r="AA7" s="155"/>
      <c r="AB7" s="91"/>
      <c r="AC7" s="92"/>
      <c r="AD7" s="99"/>
      <c r="AE7" s="99"/>
      <c r="AF7" s="90"/>
      <c r="AG7" s="90"/>
      <c r="AH7" s="91"/>
      <c r="AI7" s="91"/>
      <c r="AJ7" s="91"/>
      <c r="AK7" s="91"/>
      <c r="AL7" s="92"/>
    </row>
    <row r="8" spans="1:38" s="59" customFormat="1" x14ac:dyDescent="0.25">
      <c r="A8" s="31">
        <v>2004</v>
      </c>
      <c r="B8" s="44"/>
      <c r="C8" s="44"/>
      <c r="D8" s="75"/>
      <c r="E8" s="77"/>
      <c r="F8" s="62"/>
      <c r="G8" s="75"/>
      <c r="H8" s="164"/>
      <c r="I8" s="165"/>
      <c r="J8" s="164"/>
      <c r="K8" s="165"/>
      <c r="L8" s="77"/>
      <c r="M8" s="76"/>
      <c r="N8" s="77"/>
      <c r="O8" s="75"/>
      <c r="P8" s="76"/>
      <c r="Q8" s="77"/>
      <c r="R8" s="90"/>
      <c r="S8" s="91"/>
      <c r="T8" s="174"/>
      <c r="U8" s="175"/>
      <c r="V8" s="91"/>
      <c r="W8" s="92"/>
      <c r="X8" s="90"/>
      <c r="Y8" s="91"/>
      <c r="Z8" s="154"/>
      <c r="AA8" s="155"/>
      <c r="AB8" s="91"/>
      <c r="AC8" s="92"/>
      <c r="AD8" s="99"/>
      <c r="AE8" s="99"/>
      <c r="AF8" s="90"/>
      <c r="AG8" s="90"/>
      <c r="AH8" s="91"/>
      <c r="AI8" s="91"/>
      <c r="AJ8" s="91"/>
      <c r="AK8" s="91"/>
      <c r="AL8" s="92"/>
    </row>
    <row r="9" spans="1:38" s="59" customFormat="1" x14ac:dyDescent="0.25">
      <c r="A9" s="31">
        <v>2005</v>
      </c>
      <c r="B9" s="44"/>
      <c r="C9" s="44"/>
      <c r="D9" s="75"/>
      <c r="E9" s="77"/>
      <c r="F9" s="62"/>
      <c r="G9" s="75"/>
      <c r="H9" s="164"/>
      <c r="I9" s="165"/>
      <c r="J9" s="164"/>
      <c r="K9" s="165"/>
      <c r="L9" s="77"/>
      <c r="M9" s="76"/>
      <c r="N9" s="77"/>
      <c r="O9" s="75"/>
      <c r="P9" s="76"/>
      <c r="Q9" s="77"/>
      <c r="R9" s="90"/>
      <c r="S9" s="91"/>
      <c r="T9" s="174"/>
      <c r="U9" s="175"/>
      <c r="V9" s="91"/>
      <c r="W9" s="92"/>
      <c r="X9" s="90"/>
      <c r="Y9" s="91"/>
      <c r="Z9" s="154"/>
      <c r="AA9" s="155"/>
      <c r="AB9" s="91"/>
      <c r="AC9" s="92"/>
      <c r="AD9" s="99"/>
      <c r="AE9" s="99"/>
      <c r="AF9" s="90"/>
      <c r="AG9" s="90"/>
      <c r="AH9" s="91"/>
      <c r="AI9" s="91"/>
      <c r="AJ9" s="91"/>
      <c r="AK9" s="91"/>
      <c r="AL9" s="92"/>
    </row>
    <row r="10" spans="1:38" s="59" customFormat="1" x14ac:dyDescent="0.25">
      <c r="A10" s="31">
        <v>2006</v>
      </c>
      <c r="B10" s="44"/>
      <c r="C10" s="44"/>
      <c r="D10" s="75"/>
      <c r="E10" s="77"/>
      <c r="F10" s="62"/>
      <c r="G10" s="75"/>
      <c r="H10" s="164"/>
      <c r="I10" s="165"/>
      <c r="J10" s="164"/>
      <c r="K10" s="165"/>
      <c r="L10" s="77"/>
      <c r="M10" s="76"/>
      <c r="N10" s="77"/>
      <c r="O10" s="75"/>
      <c r="P10" s="76"/>
      <c r="Q10" s="77"/>
      <c r="R10" s="90"/>
      <c r="S10" s="91"/>
      <c r="T10" s="174"/>
      <c r="U10" s="175"/>
      <c r="V10" s="91"/>
      <c r="W10" s="92"/>
      <c r="X10" s="90"/>
      <c r="Y10" s="91"/>
      <c r="Z10" s="154"/>
      <c r="AA10" s="155"/>
      <c r="AB10" s="91"/>
      <c r="AC10" s="92"/>
      <c r="AD10" s="99"/>
      <c r="AE10" s="99"/>
      <c r="AF10" s="90"/>
      <c r="AG10" s="90"/>
      <c r="AH10" s="91"/>
      <c r="AI10" s="91"/>
      <c r="AJ10" s="91"/>
      <c r="AK10" s="91"/>
      <c r="AL10" s="92"/>
    </row>
    <row r="11" spans="1:38" s="59" customFormat="1" x14ac:dyDescent="0.25">
      <c r="A11" s="31">
        <v>2007</v>
      </c>
      <c r="B11" s="44"/>
      <c r="C11" s="44"/>
      <c r="D11" s="75"/>
      <c r="E11" s="77"/>
      <c r="F11" s="62"/>
      <c r="G11" s="75"/>
      <c r="H11" s="164"/>
      <c r="I11" s="165"/>
      <c r="J11" s="164"/>
      <c r="K11" s="165"/>
      <c r="L11" s="77"/>
      <c r="M11" s="76">
        <v>0.75</v>
      </c>
      <c r="N11" s="77">
        <v>0.8</v>
      </c>
      <c r="O11" s="75"/>
      <c r="P11" s="76"/>
      <c r="Q11" s="77"/>
      <c r="R11" s="90"/>
      <c r="S11" s="91"/>
      <c r="T11" s="174"/>
      <c r="U11" s="175"/>
      <c r="V11" s="91"/>
      <c r="W11" s="92"/>
      <c r="X11" s="90"/>
      <c r="Y11" s="91"/>
      <c r="Z11" s="154"/>
      <c r="AA11" s="155"/>
      <c r="AB11" s="91"/>
      <c r="AC11" s="92"/>
      <c r="AD11" s="99"/>
      <c r="AE11" s="99"/>
      <c r="AF11" s="90"/>
      <c r="AG11" s="90"/>
      <c r="AH11" s="91"/>
      <c r="AI11" s="91"/>
      <c r="AJ11" s="91"/>
      <c r="AK11" s="91"/>
      <c r="AL11" s="92"/>
    </row>
    <row r="12" spans="1:38" s="59" customFormat="1" x14ac:dyDescent="0.25">
      <c r="A12" s="31">
        <v>2008</v>
      </c>
      <c r="B12" s="44"/>
      <c r="C12" s="44"/>
      <c r="D12" s="75"/>
      <c r="E12" s="77"/>
      <c r="F12" s="62"/>
      <c r="G12" s="75"/>
      <c r="H12" s="164"/>
      <c r="I12" s="165"/>
      <c r="J12" s="164"/>
      <c r="K12" s="165"/>
      <c r="L12" s="77"/>
      <c r="M12" s="76"/>
      <c r="N12" s="77"/>
      <c r="O12" s="75"/>
      <c r="P12" s="76"/>
      <c r="Q12" s="77"/>
      <c r="R12" s="90"/>
      <c r="S12" s="91"/>
      <c r="T12" s="174"/>
      <c r="U12" s="175"/>
      <c r="V12" s="91"/>
      <c r="W12" s="92"/>
      <c r="X12" s="90"/>
      <c r="Y12" s="91"/>
      <c r="Z12" s="154"/>
      <c r="AA12" s="155"/>
      <c r="AB12" s="91"/>
      <c r="AC12" s="92"/>
      <c r="AD12" s="99"/>
      <c r="AE12" s="99"/>
      <c r="AF12" s="90"/>
      <c r="AG12" s="90"/>
      <c r="AH12" s="91"/>
      <c r="AI12" s="91"/>
      <c r="AJ12" s="91"/>
      <c r="AK12" s="91"/>
      <c r="AL12" s="92"/>
    </row>
    <row r="13" spans="1:38" s="59" customFormat="1" x14ac:dyDescent="0.25">
      <c r="A13" s="31">
        <v>2009</v>
      </c>
      <c r="B13" s="44"/>
      <c r="C13" s="44"/>
      <c r="D13" s="75">
        <v>0</v>
      </c>
      <c r="E13" s="77"/>
      <c r="F13" s="62"/>
      <c r="G13" s="75"/>
      <c r="H13" s="164"/>
      <c r="I13" s="165"/>
      <c r="J13" s="164"/>
      <c r="K13" s="165"/>
      <c r="L13" s="77"/>
      <c r="M13" s="76"/>
      <c r="N13" s="77"/>
      <c r="O13" s="75"/>
      <c r="P13" s="76"/>
      <c r="Q13" s="77"/>
      <c r="R13" s="90"/>
      <c r="S13" s="91"/>
      <c r="T13" s="174"/>
      <c r="U13" s="175"/>
      <c r="V13" s="91"/>
      <c r="W13" s="92"/>
      <c r="X13" s="90"/>
      <c r="Y13" s="91"/>
      <c r="Z13" s="154"/>
      <c r="AA13" s="155"/>
      <c r="AB13" s="91"/>
      <c r="AC13" s="92"/>
      <c r="AD13" s="99"/>
      <c r="AE13" s="99"/>
      <c r="AF13" s="90"/>
      <c r="AG13" s="90"/>
      <c r="AH13" s="91"/>
      <c r="AI13" s="91"/>
      <c r="AJ13" s="91"/>
      <c r="AK13" s="91"/>
      <c r="AL13" s="92"/>
    </row>
    <row r="14" spans="1:38" s="59" customFormat="1" x14ac:dyDescent="0.25">
      <c r="A14" s="31">
        <v>2010</v>
      </c>
      <c r="B14" s="44"/>
      <c r="C14" s="44"/>
      <c r="D14" s="75">
        <v>1500</v>
      </c>
      <c r="E14" s="77">
        <v>0</v>
      </c>
      <c r="F14" s="62"/>
      <c r="G14" s="75"/>
      <c r="H14" s="164"/>
      <c r="I14" s="165"/>
      <c r="J14" s="164"/>
      <c r="K14" s="165"/>
      <c r="L14" s="77"/>
      <c r="M14" s="76">
        <v>0.75</v>
      </c>
      <c r="N14" s="77">
        <v>0.8</v>
      </c>
      <c r="O14" s="75"/>
      <c r="P14" s="76"/>
      <c r="Q14" s="77"/>
      <c r="R14" s="90"/>
      <c r="S14" s="91"/>
      <c r="T14" s="174"/>
      <c r="U14" s="175"/>
      <c r="V14" s="91"/>
      <c r="W14" s="92"/>
      <c r="X14" s="90"/>
      <c r="Y14" s="91"/>
      <c r="Z14" s="154"/>
      <c r="AA14" s="155"/>
      <c r="AB14" s="91"/>
      <c r="AC14" s="92"/>
      <c r="AD14" s="99"/>
      <c r="AE14" s="99"/>
      <c r="AF14" s="90"/>
      <c r="AG14" s="90"/>
      <c r="AH14" s="91"/>
      <c r="AI14" s="91"/>
      <c r="AJ14" s="91"/>
      <c r="AK14" s="91"/>
      <c r="AL14" s="92"/>
    </row>
    <row r="15" spans="1:38" s="59" customFormat="1" x14ac:dyDescent="0.25">
      <c r="A15" s="31">
        <v>2011</v>
      </c>
      <c r="B15" s="44"/>
      <c r="C15" s="44"/>
      <c r="D15" s="75"/>
      <c r="E15" s="77">
        <v>110</v>
      </c>
      <c r="F15" s="62"/>
      <c r="G15" s="75"/>
      <c r="H15" s="164"/>
      <c r="I15" s="165"/>
      <c r="J15" s="164"/>
      <c r="K15" s="165"/>
      <c r="L15" s="77"/>
      <c r="M15" s="76"/>
      <c r="N15" s="77"/>
      <c r="O15" s="75"/>
      <c r="P15" s="76"/>
      <c r="Q15" s="77"/>
      <c r="R15" s="90"/>
      <c r="S15" s="91"/>
      <c r="T15" s="174"/>
      <c r="U15" s="175"/>
      <c r="V15" s="91"/>
      <c r="W15" s="92"/>
      <c r="X15" s="90"/>
      <c r="Y15" s="91"/>
      <c r="Z15" s="154"/>
      <c r="AA15" s="155"/>
      <c r="AB15" s="91"/>
      <c r="AC15" s="92"/>
      <c r="AD15" s="99"/>
      <c r="AE15" s="99"/>
      <c r="AF15" s="90"/>
      <c r="AG15" s="90"/>
      <c r="AH15" s="91"/>
      <c r="AI15" s="91"/>
      <c r="AJ15" s="91"/>
      <c r="AK15" s="91"/>
      <c r="AL15" s="92"/>
    </row>
    <row r="16" spans="1:38" s="59" customFormat="1" x14ac:dyDescent="0.25">
      <c r="A16" s="31">
        <v>2012</v>
      </c>
      <c r="B16" s="44"/>
      <c r="C16" s="44"/>
      <c r="D16" s="75"/>
      <c r="E16" s="77"/>
      <c r="F16" s="62"/>
      <c r="G16" s="75"/>
      <c r="H16" s="164"/>
      <c r="I16" s="165"/>
      <c r="J16" s="164"/>
      <c r="K16" s="165"/>
      <c r="L16" s="77"/>
      <c r="M16" s="76">
        <v>0.82</v>
      </c>
      <c r="N16" s="77">
        <v>0.88</v>
      </c>
      <c r="O16" s="75"/>
      <c r="P16" s="76"/>
      <c r="Q16" s="77"/>
      <c r="R16" s="90"/>
      <c r="S16" s="91"/>
      <c r="T16" s="174"/>
      <c r="U16" s="175"/>
      <c r="V16" s="91"/>
      <c r="W16" s="92"/>
      <c r="X16" s="90"/>
      <c r="Y16" s="91"/>
      <c r="Z16" s="154"/>
      <c r="AA16" s="155"/>
      <c r="AB16" s="91"/>
      <c r="AC16" s="92"/>
      <c r="AD16" s="99"/>
      <c r="AE16" s="99"/>
      <c r="AF16" s="90"/>
      <c r="AG16" s="90"/>
      <c r="AH16" s="91"/>
      <c r="AI16" s="91"/>
      <c r="AJ16" s="91"/>
      <c r="AK16" s="91"/>
      <c r="AL16" s="92"/>
    </row>
    <row r="17" spans="1:38" s="59" customFormat="1" x14ac:dyDescent="0.25">
      <c r="A17" s="31">
        <v>2013</v>
      </c>
      <c r="B17" s="44"/>
      <c r="C17" s="44"/>
      <c r="D17" s="75"/>
      <c r="E17" s="77"/>
      <c r="F17" s="62"/>
      <c r="G17" s="75"/>
      <c r="H17" s="164"/>
      <c r="I17" s="165"/>
      <c r="J17" s="164"/>
      <c r="K17" s="165"/>
      <c r="L17" s="77"/>
      <c r="M17" s="76">
        <v>0.86</v>
      </c>
      <c r="N17" s="77">
        <v>0.9</v>
      </c>
      <c r="O17" s="75"/>
      <c r="P17" s="76"/>
      <c r="Q17" s="77"/>
      <c r="R17" s="90"/>
      <c r="S17" s="91"/>
      <c r="T17" s="174"/>
      <c r="U17" s="175"/>
      <c r="V17" s="91"/>
      <c r="W17" s="92"/>
      <c r="X17" s="90"/>
      <c r="Y17" s="91"/>
      <c r="Z17" s="154"/>
      <c r="AA17" s="155"/>
      <c r="AB17" s="91"/>
      <c r="AC17" s="92"/>
      <c r="AD17" s="99"/>
      <c r="AE17" s="99"/>
      <c r="AF17" s="90"/>
      <c r="AG17" s="90"/>
      <c r="AH17" s="91"/>
      <c r="AI17" s="91"/>
      <c r="AJ17" s="91"/>
      <c r="AK17" s="91"/>
      <c r="AL17" s="92"/>
    </row>
    <row r="18" spans="1:38" s="59" customFormat="1" x14ac:dyDescent="0.25">
      <c r="A18" s="31">
        <v>2014</v>
      </c>
      <c r="B18" s="44"/>
      <c r="C18" s="44"/>
      <c r="D18" s="75"/>
      <c r="E18" s="77"/>
      <c r="F18" s="62"/>
      <c r="G18" s="75"/>
      <c r="H18" s="164"/>
      <c r="I18" s="165"/>
      <c r="J18" s="164"/>
      <c r="K18" s="165"/>
      <c r="L18" s="77"/>
      <c r="M18" s="76">
        <v>0.89</v>
      </c>
      <c r="N18" s="77">
        <v>0.9</v>
      </c>
      <c r="O18" s="75"/>
      <c r="P18" s="76"/>
      <c r="Q18" s="77"/>
      <c r="R18" s="90"/>
      <c r="S18" s="91"/>
      <c r="T18" s="174"/>
      <c r="U18" s="175"/>
      <c r="V18" s="91"/>
      <c r="W18" s="92"/>
      <c r="X18" s="90"/>
      <c r="Y18" s="91"/>
      <c r="Z18" s="154"/>
      <c r="AA18" s="155"/>
      <c r="AB18" s="91"/>
      <c r="AC18" s="92"/>
      <c r="AD18" s="99"/>
      <c r="AE18" s="99"/>
      <c r="AF18" s="90"/>
      <c r="AG18" s="90"/>
      <c r="AH18" s="91"/>
      <c r="AI18" s="91"/>
      <c r="AJ18" s="91"/>
      <c r="AK18" s="91"/>
      <c r="AL18" s="92"/>
    </row>
    <row r="19" spans="1:38" s="59" customFormat="1" x14ac:dyDescent="0.25">
      <c r="A19" s="31">
        <v>2015</v>
      </c>
      <c r="B19" s="44"/>
      <c r="C19" s="44"/>
      <c r="D19" s="75"/>
      <c r="E19" s="77"/>
      <c r="F19" s="62"/>
      <c r="G19" s="75"/>
      <c r="H19" s="164"/>
      <c r="I19" s="165"/>
      <c r="J19" s="164"/>
      <c r="K19" s="165"/>
      <c r="L19" s="77"/>
      <c r="M19" s="76">
        <v>0.92</v>
      </c>
      <c r="N19" s="77">
        <v>0.92</v>
      </c>
      <c r="O19" s="75"/>
      <c r="P19" s="76"/>
      <c r="Q19" s="77"/>
      <c r="R19" s="90"/>
      <c r="S19" s="91"/>
      <c r="T19" s="174"/>
      <c r="U19" s="175"/>
      <c r="V19" s="91"/>
      <c r="W19" s="92"/>
      <c r="X19" s="90"/>
      <c r="Y19" s="91"/>
      <c r="Z19" s="154"/>
      <c r="AA19" s="155"/>
      <c r="AB19" s="91"/>
      <c r="AC19" s="92"/>
      <c r="AD19" s="99"/>
      <c r="AE19" s="99"/>
      <c r="AF19" s="90"/>
      <c r="AG19" s="90"/>
      <c r="AH19" s="91"/>
      <c r="AI19" s="91"/>
      <c r="AJ19" s="91"/>
      <c r="AK19" s="91"/>
      <c r="AL19" s="92"/>
    </row>
    <row r="20" spans="1:38" s="59" customFormat="1" x14ac:dyDescent="0.25">
      <c r="A20" s="31">
        <v>2016</v>
      </c>
      <c r="B20" s="44"/>
      <c r="C20" s="44"/>
      <c r="D20" s="75">
        <v>4000</v>
      </c>
      <c r="E20" s="77">
        <v>200</v>
      </c>
      <c r="F20" s="62"/>
      <c r="G20" s="75"/>
      <c r="H20" s="164"/>
      <c r="I20" s="165"/>
      <c r="J20" s="164"/>
      <c r="K20" s="165"/>
      <c r="L20" s="77"/>
      <c r="M20" s="76">
        <v>0.95</v>
      </c>
      <c r="N20" s="77">
        <v>0.94</v>
      </c>
      <c r="O20" s="75"/>
      <c r="P20" s="76"/>
      <c r="Q20" s="77"/>
      <c r="R20" s="90"/>
      <c r="S20" s="91"/>
      <c r="T20" s="174"/>
      <c r="U20" s="175"/>
      <c r="V20" s="91"/>
      <c r="W20" s="92"/>
      <c r="X20" s="90"/>
      <c r="Y20" s="91"/>
      <c r="Z20" s="154"/>
      <c r="AA20" s="155"/>
      <c r="AB20" s="91"/>
      <c r="AC20" s="92"/>
      <c r="AD20" s="99"/>
      <c r="AE20" s="99"/>
      <c r="AF20" s="90"/>
      <c r="AG20" s="90"/>
      <c r="AH20" s="91"/>
      <c r="AI20" s="91"/>
      <c r="AJ20" s="91"/>
      <c r="AK20" s="91"/>
      <c r="AL20" s="92"/>
    </row>
    <row r="21" spans="1:38" s="59" customFormat="1" x14ac:dyDescent="0.25">
      <c r="A21" s="31">
        <v>2017</v>
      </c>
      <c r="B21" s="44"/>
      <c r="C21" s="44"/>
      <c r="D21" s="75"/>
      <c r="E21" s="77"/>
      <c r="F21" s="62"/>
      <c r="G21" s="75"/>
      <c r="H21" s="164"/>
      <c r="I21" s="165"/>
      <c r="J21" s="164"/>
      <c r="K21" s="165"/>
      <c r="L21" s="77"/>
      <c r="M21" s="76"/>
      <c r="N21" s="77"/>
      <c r="O21" s="75"/>
      <c r="P21" s="76"/>
      <c r="Q21" s="77"/>
      <c r="R21" s="90"/>
      <c r="S21" s="91"/>
      <c r="T21" s="174"/>
      <c r="U21" s="175"/>
      <c r="V21" s="91"/>
      <c r="W21" s="92"/>
      <c r="X21" s="90"/>
      <c r="Y21" s="91"/>
      <c r="Z21" s="154"/>
      <c r="AA21" s="155"/>
      <c r="AB21" s="91"/>
      <c r="AC21" s="92"/>
      <c r="AD21" s="99"/>
      <c r="AE21" s="99"/>
      <c r="AF21" s="90"/>
      <c r="AG21" s="90"/>
      <c r="AH21" s="91"/>
      <c r="AI21" s="91"/>
      <c r="AJ21" s="91"/>
      <c r="AK21" s="91"/>
      <c r="AL21" s="92"/>
    </row>
    <row r="22" spans="1:38" s="59" customFormat="1" x14ac:dyDescent="0.25">
      <c r="A22" s="31">
        <v>2018</v>
      </c>
      <c r="B22" s="44"/>
      <c r="C22" s="44"/>
      <c r="D22" s="75"/>
      <c r="E22" s="77"/>
      <c r="F22" s="62"/>
      <c r="G22" s="75"/>
      <c r="H22" s="164"/>
      <c r="I22" s="165"/>
      <c r="J22" s="164"/>
      <c r="K22" s="165"/>
      <c r="L22" s="77"/>
      <c r="M22" s="76"/>
      <c r="N22" s="77"/>
      <c r="O22" s="75"/>
      <c r="P22" s="76"/>
      <c r="Q22" s="77"/>
      <c r="R22" s="90"/>
      <c r="S22" s="91"/>
      <c r="T22" s="174"/>
      <c r="U22" s="175"/>
      <c r="V22" s="91"/>
      <c r="W22" s="92"/>
      <c r="X22" s="90"/>
      <c r="Y22" s="91"/>
      <c r="Z22" s="154"/>
      <c r="AA22" s="155"/>
      <c r="AB22" s="91"/>
      <c r="AC22" s="92"/>
      <c r="AD22" s="99"/>
      <c r="AE22" s="99"/>
      <c r="AF22" s="90"/>
      <c r="AG22" s="90"/>
      <c r="AH22" s="91"/>
      <c r="AI22" s="91"/>
      <c r="AJ22" s="91"/>
      <c r="AK22" s="91"/>
      <c r="AL22" s="92"/>
    </row>
    <row r="23" spans="1:38" s="59" customFormat="1" x14ac:dyDescent="0.25">
      <c r="A23" s="31">
        <v>2019</v>
      </c>
      <c r="B23" s="44"/>
      <c r="C23" s="44"/>
      <c r="D23" s="75"/>
      <c r="E23" s="77"/>
      <c r="F23" s="62"/>
      <c r="G23" s="75"/>
      <c r="H23" s="164"/>
      <c r="I23" s="165"/>
      <c r="J23" s="164"/>
      <c r="K23" s="165"/>
      <c r="L23" s="77"/>
      <c r="M23" s="76"/>
      <c r="N23" s="77"/>
      <c r="O23" s="75"/>
      <c r="P23" s="76"/>
      <c r="Q23" s="77"/>
      <c r="R23" s="90"/>
      <c r="S23" s="91"/>
      <c r="T23" s="174"/>
      <c r="U23" s="175"/>
      <c r="V23" s="91"/>
      <c r="W23" s="92"/>
      <c r="X23" s="90"/>
      <c r="Y23" s="91"/>
      <c r="Z23" s="154"/>
      <c r="AA23" s="155"/>
      <c r="AB23" s="91"/>
      <c r="AC23" s="92"/>
      <c r="AD23" s="99"/>
      <c r="AE23" s="99"/>
      <c r="AF23" s="90"/>
      <c r="AG23" s="90"/>
      <c r="AH23" s="91"/>
      <c r="AI23" s="91"/>
      <c r="AJ23" s="91"/>
      <c r="AK23" s="91"/>
      <c r="AL23" s="92"/>
    </row>
    <row r="24" spans="1:38" s="59" customFormat="1" x14ac:dyDescent="0.25">
      <c r="A24" s="31">
        <v>2020</v>
      </c>
      <c r="B24" s="44"/>
      <c r="C24" s="44"/>
      <c r="D24" s="75"/>
      <c r="E24" s="77"/>
      <c r="F24" s="62"/>
      <c r="G24" s="75"/>
      <c r="H24" s="164"/>
      <c r="I24" s="165"/>
      <c r="J24" s="164"/>
      <c r="K24" s="165"/>
      <c r="L24" s="77"/>
      <c r="M24" s="76"/>
      <c r="N24" s="77"/>
      <c r="O24" s="75"/>
      <c r="P24" s="76"/>
      <c r="Q24" s="77"/>
      <c r="R24" s="90"/>
      <c r="S24" s="91"/>
      <c r="T24" s="174"/>
      <c r="U24" s="175"/>
      <c r="V24" s="91"/>
      <c r="W24" s="92"/>
      <c r="X24" s="90"/>
      <c r="Y24" s="91"/>
      <c r="Z24" s="154"/>
      <c r="AA24" s="155"/>
      <c r="AB24" s="91"/>
      <c r="AC24" s="92"/>
      <c r="AD24" s="99"/>
      <c r="AE24" s="99"/>
      <c r="AF24" s="90"/>
      <c r="AG24" s="90"/>
      <c r="AH24" s="91"/>
      <c r="AI24" s="91"/>
      <c r="AJ24" s="91"/>
      <c r="AK24" s="91"/>
      <c r="AL24" s="92"/>
    </row>
    <row r="25" spans="1:38" s="59" customFormat="1" x14ac:dyDescent="0.25">
      <c r="A25" s="31">
        <v>2021</v>
      </c>
      <c r="B25" s="44"/>
      <c r="C25" s="44"/>
      <c r="D25" s="75"/>
      <c r="E25" s="77"/>
      <c r="F25" s="62"/>
      <c r="G25" s="75"/>
      <c r="H25" s="164"/>
      <c r="I25" s="165"/>
      <c r="J25" s="164"/>
      <c r="K25" s="165"/>
      <c r="L25" s="77"/>
      <c r="M25" s="76"/>
      <c r="N25" s="77"/>
      <c r="O25" s="75"/>
      <c r="P25" s="76"/>
      <c r="Q25" s="77"/>
      <c r="R25" s="90"/>
      <c r="S25" s="91"/>
      <c r="T25" s="174"/>
      <c r="U25" s="175"/>
      <c r="V25" s="91"/>
      <c r="W25" s="92"/>
      <c r="X25" s="90"/>
      <c r="Y25" s="91"/>
      <c r="Z25" s="154"/>
      <c r="AA25" s="155"/>
      <c r="AB25" s="91"/>
      <c r="AC25" s="92"/>
      <c r="AD25" s="99"/>
      <c r="AE25" s="99"/>
      <c r="AF25" s="90"/>
      <c r="AG25" s="90"/>
      <c r="AH25" s="91"/>
      <c r="AI25" s="91"/>
      <c r="AJ25" s="91"/>
      <c r="AK25" s="91"/>
      <c r="AL25" s="92"/>
    </row>
    <row r="26" spans="1:38" s="59" customFormat="1" x14ac:dyDescent="0.25">
      <c r="A26" s="31">
        <v>2022</v>
      </c>
      <c r="B26" s="44"/>
      <c r="C26" s="44"/>
      <c r="D26" s="75"/>
      <c r="E26" s="77"/>
      <c r="F26" s="62"/>
      <c r="G26" s="75"/>
      <c r="H26" s="164"/>
      <c r="I26" s="165"/>
      <c r="J26" s="164"/>
      <c r="K26" s="165"/>
      <c r="L26" s="77"/>
      <c r="M26" s="76"/>
      <c r="N26" s="77"/>
      <c r="O26" s="75"/>
      <c r="P26" s="76"/>
      <c r="Q26" s="77"/>
      <c r="R26" s="90"/>
      <c r="S26" s="91"/>
      <c r="T26" s="174"/>
      <c r="U26" s="175"/>
      <c r="V26" s="91"/>
      <c r="W26" s="92"/>
      <c r="X26" s="90"/>
      <c r="Y26" s="91"/>
      <c r="Z26" s="154"/>
      <c r="AA26" s="155"/>
      <c r="AB26" s="91"/>
      <c r="AC26" s="92"/>
      <c r="AD26" s="99"/>
      <c r="AE26" s="99"/>
      <c r="AF26" s="90"/>
      <c r="AG26" s="90"/>
      <c r="AH26" s="91"/>
      <c r="AI26" s="91"/>
      <c r="AJ26" s="91"/>
      <c r="AK26" s="91"/>
      <c r="AL26" s="92"/>
    </row>
    <row r="27" spans="1:38" s="59" customFormat="1" x14ac:dyDescent="0.25">
      <c r="A27" s="31">
        <v>2023</v>
      </c>
      <c r="B27" s="44"/>
      <c r="C27" s="44"/>
      <c r="D27" s="75"/>
      <c r="E27" s="77"/>
      <c r="F27" s="62"/>
      <c r="G27" s="75"/>
      <c r="H27" s="164"/>
      <c r="I27" s="165"/>
      <c r="J27" s="164"/>
      <c r="K27" s="165"/>
      <c r="L27" s="77"/>
      <c r="M27" s="76"/>
      <c r="N27" s="77"/>
      <c r="O27" s="75"/>
      <c r="P27" s="76"/>
      <c r="Q27" s="77"/>
      <c r="R27" s="90"/>
      <c r="S27" s="91"/>
      <c r="T27" s="174"/>
      <c r="U27" s="175"/>
      <c r="V27" s="91"/>
      <c r="W27" s="92"/>
      <c r="X27" s="90"/>
      <c r="Y27" s="91"/>
      <c r="Z27" s="154"/>
      <c r="AA27" s="155"/>
      <c r="AB27" s="91"/>
      <c r="AC27" s="92"/>
      <c r="AD27" s="99"/>
      <c r="AE27" s="99"/>
      <c r="AF27" s="90"/>
      <c r="AG27" s="90"/>
      <c r="AH27" s="91"/>
      <c r="AI27" s="91"/>
      <c r="AJ27" s="91"/>
      <c r="AK27" s="91"/>
      <c r="AL27" s="92"/>
    </row>
    <row r="28" spans="1:38" s="59" customFormat="1" x14ac:dyDescent="0.25">
      <c r="A28" s="31">
        <v>2024</v>
      </c>
      <c r="B28" s="44"/>
      <c r="C28" s="44"/>
      <c r="D28" s="75"/>
      <c r="E28" s="77"/>
      <c r="F28" s="62"/>
      <c r="G28" s="75"/>
      <c r="H28" s="164"/>
      <c r="I28" s="165"/>
      <c r="J28" s="164"/>
      <c r="K28" s="165"/>
      <c r="L28" s="77"/>
      <c r="M28" s="76"/>
      <c r="N28" s="77"/>
      <c r="O28" s="75"/>
      <c r="P28" s="76"/>
      <c r="Q28" s="77"/>
      <c r="R28" s="90"/>
      <c r="S28" s="91"/>
      <c r="T28" s="174"/>
      <c r="U28" s="175"/>
      <c r="V28" s="91"/>
      <c r="W28" s="92"/>
      <c r="X28" s="90"/>
      <c r="Y28" s="91"/>
      <c r="Z28" s="154"/>
      <c r="AA28" s="155"/>
      <c r="AB28" s="91"/>
      <c r="AC28" s="92"/>
      <c r="AD28" s="99"/>
      <c r="AE28" s="99"/>
      <c r="AF28" s="90"/>
      <c r="AG28" s="90"/>
      <c r="AH28" s="91"/>
      <c r="AI28" s="91"/>
      <c r="AJ28" s="91"/>
      <c r="AK28" s="91"/>
      <c r="AL28" s="92"/>
    </row>
    <row r="29" spans="1:38" s="59" customFormat="1" x14ac:dyDescent="0.25">
      <c r="A29" s="31">
        <v>2025</v>
      </c>
      <c r="B29" s="44"/>
      <c r="C29" s="44"/>
      <c r="D29" s="75"/>
      <c r="E29" s="77"/>
      <c r="F29" s="62"/>
      <c r="G29" s="75"/>
      <c r="H29" s="164"/>
      <c r="I29" s="165"/>
      <c r="J29" s="164"/>
      <c r="K29" s="165"/>
      <c r="L29" s="77"/>
      <c r="M29" s="76">
        <v>0.95</v>
      </c>
      <c r="N29" s="77">
        <v>0.95</v>
      </c>
      <c r="O29" s="75"/>
      <c r="P29" s="76"/>
      <c r="Q29" s="77"/>
      <c r="R29" s="90"/>
      <c r="S29" s="91"/>
      <c r="T29" s="174"/>
      <c r="U29" s="175"/>
      <c r="V29" s="91"/>
      <c r="W29" s="92"/>
      <c r="X29" s="90"/>
      <c r="Y29" s="91"/>
      <c r="Z29" s="154"/>
      <c r="AA29" s="155"/>
      <c r="AB29" s="91"/>
      <c r="AC29" s="92"/>
      <c r="AD29" s="99"/>
      <c r="AE29" s="99"/>
      <c r="AF29" s="90"/>
      <c r="AG29" s="90"/>
      <c r="AH29" s="91"/>
      <c r="AI29" s="91"/>
      <c r="AJ29" s="91"/>
      <c r="AK29" s="91"/>
      <c r="AL29" s="92"/>
    </row>
    <row r="30" spans="1:38" s="59" customFormat="1" x14ac:dyDescent="0.25">
      <c r="A30" s="31">
        <v>2026</v>
      </c>
      <c r="B30" s="44"/>
      <c r="C30" s="44"/>
      <c r="D30" s="75"/>
      <c r="E30" s="77"/>
      <c r="F30" s="62"/>
      <c r="G30" s="75"/>
      <c r="H30" s="164"/>
      <c r="I30" s="165"/>
      <c r="J30" s="164"/>
      <c r="K30" s="165"/>
      <c r="L30" s="77"/>
      <c r="M30" s="76"/>
      <c r="N30" s="77"/>
      <c r="O30" s="75"/>
      <c r="P30" s="76"/>
      <c r="Q30" s="77"/>
      <c r="R30" s="90"/>
      <c r="S30" s="91"/>
      <c r="T30" s="174"/>
      <c r="U30" s="175"/>
      <c r="V30" s="91"/>
      <c r="W30" s="92"/>
      <c r="X30" s="90"/>
      <c r="Y30" s="91"/>
      <c r="Z30" s="154"/>
      <c r="AA30" s="155"/>
      <c r="AB30" s="91"/>
      <c r="AC30" s="92"/>
      <c r="AD30" s="99"/>
      <c r="AE30" s="99"/>
      <c r="AF30" s="90"/>
      <c r="AG30" s="90"/>
      <c r="AH30" s="91"/>
      <c r="AI30" s="91"/>
      <c r="AJ30" s="91"/>
      <c r="AK30" s="91"/>
      <c r="AL30" s="92"/>
    </row>
    <row r="31" spans="1:38" s="59" customFormat="1" x14ac:dyDescent="0.25">
      <c r="A31" s="31">
        <v>2027</v>
      </c>
      <c r="B31" s="44"/>
      <c r="C31" s="44"/>
      <c r="D31" s="75"/>
      <c r="E31" s="77"/>
      <c r="F31" s="62"/>
      <c r="G31" s="75"/>
      <c r="H31" s="164"/>
      <c r="I31" s="165"/>
      <c r="J31" s="164"/>
      <c r="K31" s="165"/>
      <c r="L31" s="77"/>
      <c r="M31" s="76"/>
      <c r="N31" s="77"/>
      <c r="O31" s="75"/>
      <c r="P31" s="76"/>
      <c r="Q31" s="77"/>
      <c r="R31" s="90"/>
      <c r="S31" s="91"/>
      <c r="T31" s="174"/>
      <c r="U31" s="175"/>
      <c r="V31" s="91"/>
      <c r="W31" s="92"/>
      <c r="X31" s="90"/>
      <c r="Y31" s="91"/>
      <c r="Z31" s="154"/>
      <c r="AA31" s="155"/>
      <c r="AB31" s="91"/>
      <c r="AC31" s="92"/>
      <c r="AD31" s="99"/>
      <c r="AE31" s="99"/>
      <c r="AF31" s="90"/>
      <c r="AG31" s="90"/>
      <c r="AH31" s="91"/>
      <c r="AI31" s="91"/>
      <c r="AJ31" s="91"/>
      <c r="AK31" s="91"/>
      <c r="AL31" s="92"/>
    </row>
    <row r="32" spans="1:38" s="59" customFormat="1" x14ac:dyDescent="0.25">
      <c r="A32" s="31">
        <v>2028</v>
      </c>
      <c r="B32" s="44"/>
      <c r="C32" s="44"/>
      <c r="D32" s="75"/>
      <c r="E32" s="77"/>
      <c r="F32" s="62"/>
      <c r="G32" s="75"/>
      <c r="H32" s="164"/>
      <c r="I32" s="165"/>
      <c r="J32" s="164"/>
      <c r="K32" s="165"/>
      <c r="L32" s="77"/>
      <c r="M32" s="76"/>
      <c r="N32" s="77"/>
      <c r="O32" s="75"/>
      <c r="P32" s="76"/>
      <c r="Q32" s="77"/>
      <c r="R32" s="90"/>
      <c r="S32" s="91"/>
      <c r="T32" s="174"/>
      <c r="U32" s="175"/>
      <c r="V32" s="91"/>
      <c r="W32" s="92"/>
      <c r="X32" s="90"/>
      <c r="Y32" s="91"/>
      <c r="Z32" s="154"/>
      <c r="AA32" s="155"/>
      <c r="AB32" s="91"/>
      <c r="AC32" s="92"/>
      <c r="AD32" s="99"/>
      <c r="AE32" s="99"/>
      <c r="AF32" s="90"/>
      <c r="AG32" s="90"/>
      <c r="AH32" s="91"/>
      <c r="AI32" s="91"/>
      <c r="AJ32" s="91"/>
      <c r="AK32" s="91"/>
      <c r="AL32" s="92"/>
    </row>
    <row r="33" spans="1:38" s="59" customFormat="1" x14ac:dyDescent="0.25">
      <c r="A33" s="31">
        <v>2029</v>
      </c>
      <c r="B33" s="44"/>
      <c r="C33" s="44"/>
      <c r="D33" s="75"/>
      <c r="E33" s="77"/>
      <c r="F33" s="62"/>
      <c r="G33" s="75"/>
      <c r="H33" s="164"/>
      <c r="I33" s="165"/>
      <c r="J33" s="164"/>
      <c r="K33" s="165"/>
      <c r="L33" s="77"/>
      <c r="M33" s="76"/>
      <c r="N33" s="77"/>
      <c r="O33" s="75"/>
      <c r="P33" s="76"/>
      <c r="Q33" s="77"/>
      <c r="R33" s="90"/>
      <c r="S33" s="91"/>
      <c r="T33" s="174"/>
      <c r="U33" s="175"/>
      <c r="V33" s="91"/>
      <c r="W33" s="92"/>
      <c r="X33" s="90"/>
      <c r="Y33" s="91"/>
      <c r="Z33" s="154"/>
      <c r="AA33" s="155"/>
      <c r="AB33" s="91"/>
      <c r="AC33" s="92"/>
      <c r="AD33" s="99"/>
      <c r="AE33" s="99"/>
      <c r="AF33" s="90"/>
      <c r="AG33" s="90"/>
      <c r="AH33" s="91"/>
      <c r="AI33" s="91"/>
      <c r="AJ33" s="91"/>
      <c r="AK33" s="91"/>
      <c r="AL33" s="92"/>
    </row>
    <row r="34" spans="1:38" s="59" customFormat="1" x14ac:dyDescent="0.25">
      <c r="A34" s="63">
        <v>2030</v>
      </c>
      <c r="B34" s="61"/>
      <c r="C34" s="61"/>
      <c r="D34" s="78"/>
      <c r="E34" s="80"/>
      <c r="F34" s="64"/>
      <c r="G34" s="78"/>
      <c r="H34" s="166"/>
      <c r="I34" s="167"/>
      <c r="J34" s="166"/>
      <c r="K34" s="167"/>
      <c r="L34" s="80"/>
      <c r="M34" s="79">
        <v>0.99</v>
      </c>
      <c r="N34" s="80">
        <v>0.99</v>
      </c>
      <c r="O34" s="78"/>
      <c r="P34" s="79"/>
      <c r="Q34" s="80"/>
      <c r="R34" s="93"/>
      <c r="S34" s="94"/>
      <c r="T34" s="176"/>
      <c r="U34" s="177"/>
      <c r="V34" s="94"/>
      <c r="W34" s="95"/>
      <c r="X34" s="93"/>
      <c r="Y34" s="94"/>
      <c r="Z34" s="156"/>
      <c r="AA34" s="157"/>
      <c r="AB34" s="94"/>
      <c r="AC34" s="95"/>
      <c r="AD34" s="100"/>
      <c r="AE34" s="100"/>
      <c r="AF34" s="93"/>
      <c r="AG34" s="93"/>
      <c r="AH34" s="94"/>
      <c r="AI34" s="94"/>
      <c r="AJ34" s="94"/>
      <c r="AK34" s="94"/>
      <c r="AL34" s="95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pars</vt:lpstr>
      <vt:lpstr>calibration</vt:lpstr>
      <vt:lpstr>data</vt:lpstr>
      <vt:lpstr>mixing</vt:lpstr>
      <vt:lpstr>timepars</vt:lpstr>
      <vt:lpstr>scen_1</vt:lpstr>
      <vt:lpstr>scen_2</vt:lpstr>
      <vt:lpstr>scen_3</vt:lpstr>
      <vt:lpstr>timepars_old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2021-02-15T02:58:01Z</dcterms:modified>
</cp:coreProperties>
</file>