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40" windowHeight="7605" tabRatio="808"/>
  </bookViews>
  <sheets>
    <sheet name="Cover" sheetId="3" r:id="rId1"/>
    <sheet name="Campbell_data" sheetId="6" r:id="rId2"/>
    <sheet name="Danone_data" sheetId="8" r:id="rId3"/>
    <sheet name="Kellogg_data" sheetId="10" r:id="rId4"/>
    <sheet name="Nestle_data" sheetId="12" r:id="rId5"/>
  </sheets>
  <definedNames>
    <definedName name="Ccy">Cover!$C$19</definedName>
    <definedName name="circ">Cover!#REF!</definedName>
    <definedName name="CoName">Cover!#REF!</definedName>
    <definedName name="D_EBITDA" localSheetId="1">Campbell_data!$G$19</definedName>
    <definedName name="D_EBITDA" localSheetId="2">Danone_data!$G$19</definedName>
    <definedName name="D_EBITDA" localSheetId="3">Kellogg_data!$G$19</definedName>
    <definedName name="D_EBITDA" localSheetId="4">Nestle_data!$G$19</definedName>
    <definedName name="Data" localSheetId="1">Campbell_data!$B$6:$M$9</definedName>
    <definedName name="Data" localSheetId="2">Danone_data!$B$6:$M$9</definedName>
    <definedName name="Data" localSheetId="3">Kellogg_data!$B$6:$M$9</definedName>
    <definedName name="Data" localSheetId="4">Nestle_data!$B$6:$M$9</definedName>
    <definedName name="Data">#REF!</definedName>
    <definedName name="E_Int" localSheetId="1">Campbell_data!$G$21</definedName>
    <definedName name="E_Int" localSheetId="2">Danone_data!$G$21</definedName>
    <definedName name="E_Int" localSheetId="3">Kellogg_data!$G$21</definedName>
    <definedName name="E_Int" localSheetId="4">Nestle_data!$G$21</definedName>
    <definedName name="EBITDAMLTM" localSheetId="1">Campbell_data!$H$14</definedName>
    <definedName name="EBITDAMLTM" localSheetId="2">Danone_data!$H$14</definedName>
    <definedName name="EBITDAMLTM" localSheetId="3">Kellogg_data!$H$14</definedName>
    <definedName name="EBITDAMLTM" localSheetId="4">Nestle_data!$H$14</definedName>
    <definedName name="EBITMLTM" localSheetId="1">Campbell_data!$H$15</definedName>
    <definedName name="EBITMLTM" localSheetId="2">Danone_data!$H$15</definedName>
    <definedName name="EBITMLTM" localSheetId="3">Kellogg_data!$H$15</definedName>
    <definedName name="EBITMLTM" localSheetId="4">Nestle_data!$H$15</definedName>
    <definedName name="ND_EBITDA" localSheetId="1">Campbell_data!$G$20</definedName>
    <definedName name="ND_EBITDA" localSheetId="2">Danone_data!$G$20</definedName>
    <definedName name="ND_EBITDA" localSheetId="3">Kellogg_data!$G$20</definedName>
    <definedName name="ND_EBITDA" localSheetId="4">Nestle_data!$G$20</definedName>
    <definedName name="_xlnm.Print_Area" localSheetId="1">Campbell_data!$A$1:$R$135</definedName>
    <definedName name="_xlnm.Print_Area" localSheetId="2">Danone_data!$A$1:$R$138</definedName>
    <definedName name="_xlnm.Print_Area" localSheetId="3">Kellogg_data!$A$1:$R$138</definedName>
    <definedName name="_xlnm.Print_Area" localSheetId="4">Nestle_data!$A$1:$R$138</definedName>
    <definedName name="ROE" localSheetId="1">Campbell_data!$G$129</definedName>
    <definedName name="ROE" localSheetId="2">Danone_data!$G$132</definedName>
    <definedName name="ROE" localSheetId="3">Kellogg_data!$G$132</definedName>
    <definedName name="ROE" localSheetId="4">Nestle_data!$G$132</definedName>
    <definedName name="ROIC" localSheetId="1">Campbell_data!$G$135</definedName>
    <definedName name="ROIC" localSheetId="2">Danone_data!$G$138</definedName>
    <definedName name="ROIC" localSheetId="3">Kellogg_data!$G$138</definedName>
    <definedName name="ROIC" localSheetId="4">Nestle_data!$G$138</definedName>
    <definedName name="SalesCAGR" localSheetId="1">Campbell_data!$O$12</definedName>
    <definedName name="SalesCAGR" localSheetId="2">Danone_data!$O$12</definedName>
    <definedName name="SalesCAGR" localSheetId="3">Kellogg_data!$O$12</definedName>
    <definedName name="SalesCAGR" localSheetId="4">Nestle_data!$O$12</definedName>
    <definedName name="Units">Cover!$C$20</definedName>
  </definedNames>
  <calcPr calcId="145621" calcMode="autoNoTable" iterate="1"/>
</workbook>
</file>

<file path=xl/calcChain.xml><?xml version="1.0" encoding="utf-8"?>
<calcChain xmlns="http://schemas.openxmlformats.org/spreadsheetml/2006/main">
  <c r="E28" i="8" l="1"/>
  <c r="D28" i="8"/>
  <c r="B136" i="12" l="1"/>
  <c r="G135" i="12"/>
  <c r="B135" i="12"/>
  <c r="B134" i="12"/>
  <c r="G129" i="12"/>
  <c r="F128" i="12"/>
  <c r="F135" i="12" s="1"/>
  <c r="G127" i="12"/>
  <c r="G21" i="12" s="1"/>
  <c r="G121" i="12"/>
  <c r="F121" i="12"/>
  <c r="G120" i="12"/>
  <c r="F116" i="12"/>
  <c r="F115" i="12"/>
  <c r="F120" i="12" s="1"/>
  <c r="G112" i="12"/>
  <c r="F111" i="12"/>
  <c r="F112" i="12" s="1"/>
  <c r="F18" i="12" s="1"/>
  <c r="G110" i="12"/>
  <c r="F109" i="12"/>
  <c r="F110" i="12" s="1"/>
  <c r="F17" i="12" s="1"/>
  <c r="G106" i="12"/>
  <c r="F106" i="12"/>
  <c r="G105" i="12"/>
  <c r="F105" i="12"/>
  <c r="G104" i="12"/>
  <c r="G102" i="12"/>
  <c r="G103" i="12" s="1"/>
  <c r="G16" i="12" s="1"/>
  <c r="F102" i="12"/>
  <c r="F103" i="12" s="1"/>
  <c r="F16" i="12" s="1"/>
  <c r="F90" i="12"/>
  <c r="G89" i="12"/>
  <c r="G88" i="12"/>
  <c r="G90" i="12" s="1"/>
  <c r="G84" i="12"/>
  <c r="F84" i="12"/>
  <c r="G82" i="12"/>
  <c r="F82" i="12"/>
  <c r="G77" i="12"/>
  <c r="G66" i="12"/>
  <c r="G76" i="12" s="1"/>
  <c r="F66" i="12"/>
  <c r="G65" i="12"/>
  <c r="F64" i="12"/>
  <c r="G62" i="12"/>
  <c r="G134" i="12" s="1"/>
  <c r="G58" i="12"/>
  <c r="G60" i="12" s="1"/>
  <c r="G57" i="12"/>
  <c r="F56" i="12"/>
  <c r="F57" i="12" s="1"/>
  <c r="F55" i="12"/>
  <c r="F58" i="12" s="1"/>
  <c r="F60" i="12" s="1"/>
  <c r="G52" i="12"/>
  <c r="J51" i="12"/>
  <c r="I51" i="12"/>
  <c r="G51" i="12"/>
  <c r="F49" i="12"/>
  <c r="F51" i="12" s="1"/>
  <c r="J46" i="12"/>
  <c r="J52" i="12" s="1"/>
  <c r="J53" i="12" s="1"/>
  <c r="I46" i="12"/>
  <c r="G46" i="12"/>
  <c r="G47" i="12" s="1"/>
  <c r="F37" i="12"/>
  <c r="J35" i="12"/>
  <c r="I35" i="12"/>
  <c r="G35" i="12"/>
  <c r="F34" i="12"/>
  <c r="F46" i="12" s="1"/>
  <c r="G32" i="12"/>
  <c r="G13" i="12" s="1"/>
  <c r="J31" i="12"/>
  <c r="J32" i="12" s="1"/>
  <c r="I31" i="12"/>
  <c r="I32" i="12" s="1"/>
  <c r="G31" i="12"/>
  <c r="F30" i="12"/>
  <c r="F27" i="12"/>
  <c r="E27" i="12"/>
  <c r="D27" i="12"/>
  <c r="E28" i="12" s="1"/>
  <c r="E12" i="12" s="1"/>
  <c r="C27" i="12"/>
  <c r="D28" i="12" s="1"/>
  <c r="D12" i="12" s="1"/>
  <c r="G22" i="12"/>
  <c r="B22" i="12"/>
  <c r="G18" i="12"/>
  <c r="G17" i="12"/>
  <c r="M15" i="12"/>
  <c r="L15" i="12"/>
  <c r="K15" i="12"/>
  <c r="M14" i="12"/>
  <c r="L14" i="12"/>
  <c r="K14" i="12"/>
  <c r="B13" i="12"/>
  <c r="M12" i="12"/>
  <c r="L12" i="12"/>
  <c r="G8" i="12"/>
  <c r="J6" i="12"/>
  <c r="I6" i="12"/>
  <c r="G6" i="12"/>
  <c r="E6" i="12"/>
  <c r="D6" i="12"/>
  <c r="C6" i="12"/>
  <c r="F3" i="12"/>
  <c r="E3" i="12" s="1"/>
  <c r="D3" i="12" s="1"/>
  <c r="C3" i="12" s="1"/>
  <c r="N11" i="12" s="1"/>
  <c r="B136" i="10"/>
  <c r="G135" i="10"/>
  <c r="F135" i="10"/>
  <c r="B135" i="10"/>
  <c r="B134" i="10"/>
  <c r="F129" i="10"/>
  <c r="F22" i="10" s="1"/>
  <c r="F126" i="10"/>
  <c r="F122" i="10"/>
  <c r="G120" i="10"/>
  <c r="G129" i="10" s="1"/>
  <c r="F120" i="10"/>
  <c r="F112" i="10"/>
  <c r="F18" i="10" s="1"/>
  <c r="G106" i="10"/>
  <c r="G105" i="10"/>
  <c r="F104" i="10"/>
  <c r="G102" i="10"/>
  <c r="G103" i="10" s="1"/>
  <c r="G16" i="10" s="1"/>
  <c r="F102" i="10"/>
  <c r="G90" i="10"/>
  <c r="F90" i="10"/>
  <c r="F80" i="10"/>
  <c r="B75" i="10"/>
  <c r="B74" i="10"/>
  <c r="B73" i="10"/>
  <c r="F71" i="10"/>
  <c r="B71" i="10"/>
  <c r="G69" i="10"/>
  <c r="F69" i="10"/>
  <c r="B69" i="10"/>
  <c r="F68" i="10"/>
  <c r="G67" i="10"/>
  <c r="F67" i="10"/>
  <c r="F76" i="10" s="1"/>
  <c r="B67" i="10"/>
  <c r="G66" i="10"/>
  <c r="G76" i="10" s="1"/>
  <c r="F66" i="10"/>
  <c r="B66" i="10"/>
  <c r="F65" i="10"/>
  <c r="G60" i="10"/>
  <c r="F60" i="10"/>
  <c r="G57" i="10"/>
  <c r="F57" i="10"/>
  <c r="J51" i="10"/>
  <c r="I51" i="10"/>
  <c r="I52" i="10" s="1"/>
  <c r="F51" i="10"/>
  <c r="G49" i="10"/>
  <c r="G51" i="10" s="1"/>
  <c r="F49" i="10"/>
  <c r="G47" i="10"/>
  <c r="J46" i="10"/>
  <c r="J47" i="10" s="1"/>
  <c r="I46" i="10"/>
  <c r="I47" i="10" s="1"/>
  <c r="G46" i="10"/>
  <c r="F46" i="10"/>
  <c r="F39" i="10"/>
  <c r="J35" i="10"/>
  <c r="I35" i="10"/>
  <c r="J32" i="10"/>
  <c r="J31" i="10"/>
  <c r="I31" i="10"/>
  <c r="I32" i="10" s="1"/>
  <c r="G30" i="10"/>
  <c r="F30" i="10"/>
  <c r="F105" i="10" s="1"/>
  <c r="G28" i="10"/>
  <c r="E28" i="10"/>
  <c r="E12" i="10" s="1"/>
  <c r="D28" i="10"/>
  <c r="G27" i="10"/>
  <c r="F27" i="10"/>
  <c r="G22" i="10"/>
  <c r="B22" i="10"/>
  <c r="M15" i="10"/>
  <c r="L15" i="10"/>
  <c r="K15" i="10"/>
  <c r="M14" i="10"/>
  <c r="L14" i="10"/>
  <c r="K14" i="10"/>
  <c r="B13" i="10"/>
  <c r="M12" i="10"/>
  <c r="L12" i="10"/>
  <c r="G12" i="10"/>
  <c r="D12" i="10"/>
  <c r="J8" i="10"/>
  <c r="J15" i="10" s="1"/>
  <c r="I8" i="10"/>
  <c r="I15" i="10" s="1"/>
  <c r="G8" i="10"/>
  <c r="F8" i="10"/>
  <c r="J6" i="10"/>
  <c r="I6" i="10"/>
  <c r="E6" i="10"/>
  <c r="D6" i="10"/>
  <c r="C6" i="10"/>
  <c r="K3" i="10"/>
  <c r="L3" i="10" s="1"/>
  <c r="M3" i="10" s="1"/>
  <c r="F3" i="10"/>
  <c r="E3" i="10" s="1"/>
  <c r="D3" i="10" s="1"/>
  <c r="C3" i="10" s="1"/>
  <c r="N11" i="10" s="1"/>
  <c r="B136" i="8"/>
  <c r="G135" i="8"/>
  <c r="F135" i="8"/>
  <c r="B135" i="8"/>
  <c r="B134" i="8"/>
  <c r="G129" i="8"/>
  <c r="G22" i="8" s="1"/>
  <c r="G124" i="8"/>
  <c r="G121" i="8"/>
  <c r="G122" i="8" s="1"/>
  <c r="G136" i="8" s="1"/>
  <c r="F121" i="8"/>
  <c r="G120" i="8"/>
  <c r="F118" i="8"/>
  <c r="F120" i="8" s="1"/>
  <c r="G112" i="8"/>
  <c r="F112" i="8"/>
  <c r="F18" i="8" s="1"/>
  <c r="F111" i="8"/>
  <c r="G110" i="8"/>
  <c r="F110" i="8"/>
  <c r="G106" i="8"/>
  <c r="F106" i="8"/>
  <c r="G105" i="8"/>
  <c r="F105" i="8"/>
  <c r="G104" i="8"/>
  <c r="F104" i="8"/>
  <c r="F103" i="8"/>
  <c r="G102" i="8"/>
  <c r="G103" i="8" s="1"/>
  <c r="F102" i="8"/>
  <c r="G90" i="8"/>
  <c r="F90" i="8"/>
  <c r="B67" i="8"/>
  <c r="F66" i="8"/>
  <c r="F76" i="8" s="1"/>
  <c r="B66" i="8"/>
  <c r="G65" i="8"/>
  <c r="F65" i="8"/>
  <c r="G62" i="8"/>
  <c r="G134" i="8" s="1"/>
  <c r="G60" i="8"/>
  <c r="F60" i="8"/>
  <c r="F67" i="8" s="1"/>
  <c r="G57" i="8"/>
  <c r="F57" i="8"/>
  <c r="G52" i="8"/>
  <c r="J51" i="8"/>
  <c r="J52" i="8" s="1"/>
  <c r="J53" i="8" s="1"/>
  <c r="I51" i="8"/>
  <c r="G51" i="8"/>
  <c r="F49" i="8"/>
  <c r="F51" i="8" s="1"/>
  <c r="I47" i="8"/>
  <c r="J46" i="8"/>
  <c r="J47" i="8" s="1"/>
  <c r="I46" i="8"/>
  <c r="I52" i="8" s="1"/>
  <c r="I53" i="8" s="1"/>
  <c r="G46" i="8"/>
  <c r="G47" i="8" s="1"/>
  <c r="F46" i="8"/>
  <c r="J35" i="8"/>
  <c r="I35" i="8"/>
  <c r="G35" i="8"/>
  <c r="F35" i="8"/>
  <c r="I32" i="8"/>
  <c r="J31" i="8"/>
  <c r="J32" i="8" s="1"/>
  <c r="I31" i="8"/>
  <c r="G31" i="8"/>
  <c r="G32" i="8" s="1"/>
  <c r="F31" i="8"/>
  <c r="F32" i="8" s="1"/>
  <c r="F13" i="8" s="1"/>
  <c r="G28" i="8"/>
  <c r="F28" i="8"/>
  <c r="B22" i="8"/>
  <c r="G20" i="8"/>
  <c r="G18" i="8"/>
  <c r="G17" i="8"/>
  <c r="F17" i="8"/>
  <c r="G16" i="8"/>
  <c r="F16" i="8"/>
  <c r="M15" i="8"/>
  <c r="L15" i="8"/>
  <c r="K15" i="8"/>
  <c r="M14" i="8"/>
  <c r="L14" i="8"/>
  <c r="K14" i="8"/>
  <c r="G13" i="8"/>
  <c r="B13" i="8"/>
  <c r="M12" i="8"/>
  <c r="L12" i="8"/>
  <c r="G12" i="8"/>
  <c r="F12" i="8"/>
  <c r="E12" i="8"/>
  <c r="D12" i="8"/>
  <c r="J8" i="8"/>
  <c r="G8" i="8"/>
  <c r="F8" i="8"/>
  <c r="I7" i="8"/>
  <c r="I14" i="8" s="1"/>
  <c r="J6" i="8"/>
  <c r="I6" i="8"/>
  <c r="G6" i="8"/>
  <c r="F6" i="8"/>
  <c r="E6" i="8"/>
  <c r="D6" i="8"/>
  <c r="C6" i="8"/>
  <c r="F3" i="8"/>
  <c r="E3" i="8" s="1"/>
  <c r="B133" i="6"/>
  <c r="G132" i="6"/>
  <c r="F132" i="6"/>
  <c r="B132" i="6"/>
  <c r="B131" i="6"/>
  <c r="G118" i="6"/>
  <c r="F118" i="6"/>
  <c r="G117" i="6"/>
  <c r="G126" i="6" s="1"/>
  <c r="F117" i="6"/>
  <c r="G109" i="6"/>
  <c r="F109" i="6"/>
  <c r="G107" i="6"/>
  <c r="F107" i="6"/>
  <c r="F103" i="6"/>
  <c r="F102" i="6"/>
  <c r="G101" i="6"/>
  <c r="F101" i="6"/>
  <c r="G99" i="6"/>
  <c r="G100" i="6" s="1"/>
  <c r="G16" i="6" s="1"/>
  <c r="F99" i="6"/>
  <c r="F100" i="6" s="1"/>
  <c r="F16" i="6" s="1"/>
  <c r="G87" i="6"/>
  <c r="F87" i="6"/>
  <c r="F69" i="6"/>
  <c r="F76" i="6" s="1"/>
  <c r="B69" i="6"/>
  <c r="G68" i="6"/>
  <c r="G76" i="6" s="1"/>
  <c r="G82" i="6" s="1"/>
  <c r="G9" i="6" s="1"/>
  <c r="B68" i="6"/>
  <c r="B67" i="6"/>
  <c r="B66" i="6"/>
  <c r="G65" i="6"/>
  <c r="F65" i="6"/>
  <c r="G60" i="6"/>
  <c r="F60" i="6"/>
  <c r="G57" i="6"/>
  <c r="F57" i="6"/>
  <c r="G51" i="6"/>
  <c r="F51" i="6"/>
  <c r="J49" i="6"/>
  <c r="J51" i="6" s="1"/>
  <c r="I49" i="6"/>
  <c r="I51" i="6" s="1"/>
  <c r="I38" i="6"/>
  <c r="I46" i="6" s="1"/>
  <c r="I47" i="6" s="1"/>
  <c r="G38" i="6"/>
  <c r="J37" i="6"/>
  <c r="J46" i="6" s="1"/>
  <c r="G37" i="6"/>
  <c r="G46" i="6" s="1"/>
  <c r="G62" i="6" s="1"/>
  <c r="G131" i="6" s="1"/>
  <c r="F37" i="6"/>
  <c r="F46" i="6" s="1"/>
  <c r="J35" i="6"/>
  <c r="I35" i="6"/>
  <c r="G35" i="6"/>
  <c r="F35" i="6"/>
  <c r="I31" i="6"/>
  <c r="I32" i="6" s="1"/>
  <c r="F31" i="6"/>
  <c r="F32" i="6" s="1"/>
  <c r="F13" i="6" s="1"/>
  <c r="J30" i="6"/>
  <c r="J31" i="6" s="1"/>
  <c r="J32" i="6" s="1"/>
  <c r="G30" i="6"/>
  <c r="G102" i="6" s="1"/>
  <c r="G28" i="6"/>
  <c r="G12" i="6" s="1"/>
  <c r="F28" i="6"/>
  <c r="E28" i="6"/>
  <c r="D28" i="6"/>
  <c r="D12" i="6" s="1"/>
  <c r="G22" i="6"/>
  <c r="B22" i="6"/>
  <c r="G18" i="6"/>
  <c r="F18" i="6"/>
  <c r="G17" i="6"/>
  <c r="F17" i="6"/>
  <c r="M15" i="6"/>
  <c r="L15" i="6"/>
  <c r="K15" i="6"/>
  <c r="M14" i="6"/>
  <c r="L14" i="6"/>
  <c r="K14" i="6"/>
  <c r="B13" i="6"/>
  <c r="M12" i="6"/>
  <c r="L12" i="6"/>
  <c r="F12" i="6"/>
  <c r="E12" i="6"/>
  <c r="I8" i="6"/>
  <c r="J6" i="6"/>
  <c r="I6" i="6"/>
  <c r="G6" i="6"/>
  <c r="F6" i="6"/>
  <c r="E6" i="6"/>
  <c r="D6" i="6"/>
  <c r="C6" i="6"/>
  <c r="E3" i="6"/>
  <c r="D3" i="6" s="1"/>
  <c r="C3" i="6" s="1"/>
  <c r="J52" i="10" l="1"/>
  <c r="I15" i="6"/>
  <c r="K3" i="12"/>
  <c r="L3" i="12" s="1"/>
  <c r="M3" i="12" s="1"/>
  <c r="O11" i="12" s="1"/>
  <c r="O11" i="10"/>
  <c r="G80" i="6"/>
  <c r="G31" i="6"/>
  <c r="G32" i="6" s="1"/>
  <c r="G13" i="6" s="1"/>
  <c r="G103" i="6"/>
  <c r="F119" i="6"/>
  <c r="F133" i="6" s="1"/>
  <c r="F134" i="6" s="1"/>
  <c r="G129" i="6"/>
  <c r="G24" i="6" s="1"/>
  <c r="N11" i="6"/>
  <c r="F129" i="6"/>
  <c r="F24" i="6" s="1"/>
  <c r="F82" i="6"/>
  <c r="F9" i="6" s="1"/>
  <c r="F77" i="6"/>
  <c r="F80" i="6"/>
  <c r="D3" i="8"/>
  <c r="C3" i="8" s="1"/>
  <c r="N11" i="8"/>
  <c r="F62" i="6"/>
  <c r="F131" i="6" s="1"/>
  <c r="F52" i="6"/>
  <c r="F121" i="6" s="1"/>
  <c r="F20" i="6" s="1"/>
  <c r="F8" i="6"/>
  <c r="H8" i="10"/>
  <c r="I7" i="10"/>
  <c r="I14" i="10" s="1"/>
  <c r="I53" i="10"/>
  <c r="F47" i="6"/>
  <c r="I52" i="6"/>
  <c r="J7" i="8"/>
  <c r="J14" i="8" s="1"/>
  <c r="I8" i="8"/>
  <c r="G53" i="8"/>
  <c r="G7" i="8"/>
  <c r="G123" i="8"/>
  <c r="G19" i="8" s="1"/>
  <c r="G127" i="8"/>
  <c r="G21" i="8" s="1"/>
  <c r="G80" i="10"/>
  <c r="G77" i="10"/>
  <c r="G132" i="10"/>
  <c r="G24" i="10" s="1"/>
  <c r="G8" i="6"/>
  <c r="G47" i="6"/>
  <c r="F126" i="6"/>
  <c r="F22" i="6" s="1"/>
  <c r="O12" i="6"/>
  <c r="K12" i="6"/>
  <c r="N12" i="6"/>
  <c r="H6" i="6"/>
  <c r="J52" i="6"/>
  <c r="J8" i="6"/>
  <c r="J15" i="6" s="1"/>
  <c r="G52" i="6"/>
  <c r="O12" i="8"/>
  <c r="K12" i="8"/>
  <c r="G15" i="8"/>
  <c r="N12" i="8"/>
  <c r="H6" i="8"/>
  <c r="F129" i="12"/>
  <c r="F22" i="12" s="1"/>
  <c r="F122" i="12"/>
  <c r="K3" i="6"/>
  <c r="J47" i="6"/>
  <c r="G77" i="6"/>
  <c r="K3" i="8"/>
  <c r="L3" i="8" s="1"/>
  <c r="M3" i="8" s="1"/>
  <c r="O11" i="8" s="1"/>
  <c r="G66" i="8"/>
  <c r="G67" i="8"/>
  <c r="F83" i="10"/>
  <c r="F85" i="10"/>
  <c r="F9" i="10" s="1"/>
  <c r="F132" i="8"/>
  <c r="F24" i="8" s="1"/>
  <c r="F77" i="8"/>
  <c r="F80" i="8"/>
  <c r="G137" i="8"/>
  <c r="G138" i="8" s="1"/>
  <c r="G23" i="8" s="1"/>
  <c r="F77" i="10"/>
  <c r="F132" i="10"/>
  <c r="F24" i="10" s="1"/>
  <c r="F136" i="10"/>
  <c r="F124" i="10"/>
  <c r="F20" i="10" s="1"/>
  <c r="I47" i="12"/>
  <c r="I52" i="12"/>
  <c r="I8" i="12"/>
  <c r="I15" i="12" s="1"/>
  <c r="G119" i="6"/>
  <c r="F15" i="8"/>
  <c r="J15" i="8"/>
  <c r="F129" i="8"/>
  <c r="F22" i="8" s="1"/>
  <c r="F122" i="8"/>
  <c r="F52" i="10"/>
  <c r="O12" i="12"/>
  <c r="K12" i="12"/>
  <c r="N12" i="12"/>
  <c r="H6" i="12"/>
  <c r="G15" i="12"/>
  <c r="F62" i="8"/>
  <c r="F134" i="8" s="1"/>
  <c r="F52" i="8"/>
  <c r="F47" i="8"/>
  <c r="G65" i="10"/>
  <c r="G35" i="10"/>
  <c r="G110" i="10"/>
  <c r="G17" i="10" s="1"/>
  <c r="G104" i="10"/>
  <c r="G31" i="10"/>
  <c r="G32" i="10" s="1"/>
  <c r="G13" i="10" s="1"/>
  <c r="G6" i="10"/>
  <c r="G62" i="10"/>
  <c r="G134" i="10" s="1"/>
  <c r="G52" i="10"/>
  <c r="F123" i="10"/>
  <c r="F19" i="10" s="1"/>
  <c r="F137" i="10"/>
  <c r="G123" i="12"/>
  <c r="G19" i="12" s="1"/>
  <c r="G53" i="12"/>
  <c r="G7" i="12"/>
  <c r="F62" i="10"/>
  <c r="F134" i="10" s="1"/>
  <c r="F138" i="10" s="1"/>
  <c r="F23" i="10" s="1"/>
  <c r="F103" i="10"/>
  <c r="F16" i="10" s="1"/>
  <c r="F28" i="12"/>
  <c r="F12" i="12" s="1"/>
  <c r="F6" i="12"/>
  <c r="F62" i="12"/>
  <c r="F134" i="12" s="1"/>
  <c r="F52" i="12"/>
  <c r="F47" i="12"/>
  <c r="J7" i="12"/>
  <c r="J14" i="12" s="1"/>
  <c r="J8" i="12"/>
  <c r="J15" i="12" s="1"/>
  <c r="F35" i="12"/>
  <c r="G80" i="12"/>
  <c r="G132" i="12"/>
  <c r="F104" i="12"/>
  <c r="G122" i="12"/>
  <c r="F110" i="10"/>
  <c r="F17" i="10" s="1"/>
  <c r="F35" i="10"/>
  <c r="F31" i="10"/>
  <c r="F32" i="10" s="1"/>
  <c r="F13" i="10" s="1"/>
  <c r="F6" i="10"/>
  <c r="F28" i="10"/>
  <c r="F12" i="10" s="1"/>
  <c r="F47" i="10"/>
  <c r="F106" i="10"/>
  <c r="G112" i="10"/>
  <c r="G18" i="10" s="1"/>
  <c r="G122" i="10"/>
  <c r="F8" i="12"/>
  <c r="G28" i="12"/>
  <c r="G12" i="12" s="1"/>
  <c r="F31" i="12"/>
  <c r="F32" i="12" s="1"/>
  <c r="F13" i="12" s="1"/>
  <c r="J47" i="12"/>
  <c r="F76" i="12"/>
  <c r="F65" i="12"/>
  <c r="J53" i="10" l="1"/>
  <c r="J7" i="10"/>
  <c r="J14" i="10" s="1"/>
  <c r="F120" i="6"/>
  <c r="F19" i="6" s="1"/>
  <c r="F135" i="6"/>
  <c r="F23" i="6" s="1"/>
  <c r="F15" i="10"/>
  <c r="G136" i="12"/>
  <c r="G137" i="12" s="1"/>
  <c r="G138" i="12" s="1"/>
  <c r="G124" i="12"/>
  <c r="G20" i="12" s="1"/>
  <c r="F53" i="12"/>
  <c r="F127" i="12"/>
  <c r="F21" i="12" s="1"/>
  <c r="F7" i="12"/>
  <c r="O12" i="10"/>
  <c r="K12" i="10"/>
  <c r="H6" i="10"/>
  <c r="N12" i="10"/>
  <c r="F124" i="8"/>
  <c r="F20" i="8" s="1"/>
  <c r="F136" i="8"/>
  <c r="F137" i="8" s="1"/>
  <c r="G7" i="6"/>
  <c r="G124" i="6"/>
  <c r="G21" i="6" s="1"/>
  <c r="G53" i="6"/>
  <c r="G120" i="6"/>
  <c r="G19" i="6" s="1"/>
  <c r="F80" i="12"/>
  <c r="F132" i="12"/>
  <c r="F24" i="12" s="1"/>
  <c r="F77" i="12"/>
  <c r="F15" i="12"/>
  <c r="G14" i="12"/>
  <c r="G53" i="10"/>
  <c r="G127" i="10"/>
  <c r="G21" i="10" s="1"/>
  <c r="G123" i="10"/>
  <c r="G19" i="10" s="1"/>
  <c r="G7" i="10"/>
  <c r="F127" i="8"/>
  <c r="F21" i="8" s="1"/>
  <c r="F53" i="8"/>
  <c r="F7" i="8"/>
  <c r="F123" i="8"/>
  <c r="F19" i="8" s="1"/>
  <c r="L3" i="6"/>
  <c r="M3" i="6" s="1"/>
  <c r="O11" i="6" s="1"/>
  <c r="F123" i="12"/>
  <c r="F19" i="12" s="1"/>
  <c r="G121" i="6"/>
  <c r="G20" i="6" s="1"/>
  <c r="G133" i="6"/>
  <c r="G134" i="6" s="1"/>
  <c r="G135" i="6" s="1"/>
  <c r="H7" i="8"/>
  <c r="G14" i="8"/>
  <c r="I7" i="6"/>
  <c r="I14" i="6" s="1"/>
  <c r="I53" i="6"/>
  <c r="H15" i="10"/>
  <c r="G24" i="12"/>
  <c r="G76" i="8"/>
  <c r="J53" i="6"/>
  <c r="J7" i="6"/>
  <c r="J14" i="6" s="1"/>
  <c r="G85" i="10"/>
  <c r="G9" i="10" s="1"/>
  <c r="G83" i="10"/>
  <c r="G15" i="10"/>
  <c r="F15" i="6"/>
  <c r="H8" i="12"/>
  <c r="G136" i="10"/>
  <c r="G137" i="10" s="1"/>
  <c r="G124" i="10"/>
  <c r="G20" i="10" s="1"/>
  <c r="G85" i="12"/>
  <c r="G9" i="12" s="1"/>
  <c r="G83" i="12"/>
  <c r="G138" i="10"/>
  <c r="F138" i="8"/>
  <c r="F23" i="8" s="1"/>
  <c r="F7" i="10"/>
  <c r="F127" i="10"/>
  <c r="F21" i="10" s="1"/>
  <c r="F53" i="10"/>
  <c r="I7" i="12"/>
  <c r="I14" i="12" s="1"/>
  <c r="I53" i="12"/>
  <c r="F83" i="8"/>
  <c r="F85" i="8"/>
  <c r="F9" i="8" s="1"/>
  <c r="F136" i="12"/>
  <c r="F137" i="12" s="1"/>
  <c r="F138" i="12" s="1"/>
  <c r="F23" i="12" s="1"/>
  <c r="F124" i="12"/>
  <c r="F20" i="12" s="1"/>
  <c r="H8" i="6"/>
  <c r="G15" i="6"/>
  <c r="I15" i="8"/>
  <c r="H8" i="8"/>
  <c r="F124" i="6"/>
  <c r="F21" i="6" s="1"/>
  <c r="F53" i="6"/>
  <c r="F7" i="6"/>
  <c r="F14" i="10" l="1"/>
  <c r="G23" i="6"/>
  <c r="F14" i="8"/>
  <c r="H15" i="6"/>
  <c r="H7" i="6"/>
  <c r="G14" i="6"/>
  <c r="F14" i="12"/>
  <c r="G23" i="12"/>
  <c r="G132" i="8"/>
  <c r="G80" i="8"/>
  <c r="G77" i="8"/>
  <c r="H7" i="12"/>
  <c r="F85" i="12"/>
  <c r="F9" i="12" s="1"/>
  <c r="F83" i="12"/>
  <c r="G23" i="10"/>
  <c r="F14" i="6"/>
  <c r="H15" i="8"/>
  <c r="H15" i="12"/>
  <c r="H14" i="8"/>
  <c r="G14" i="10"/>
  <c r="H7" i="10"/>
  <c r="G83" i="8" l="1"/>
  <c r="G85" i="8"/>
  <c r="G9" i="8" s="1"/>
  <c r="G24" i="8"/>
  <c r="H14" i="10"/>
  <c r="H14" i="12"/>
  <c r="H14" i="6"/>
</calcChain>
</file>

<file path=xl/comments1.xml><?xml version="1.0" encoding="utf-8"?>
<comments xmlns="http://schemas.openxmlformats.org/spreadsheetml/2006/main">
  <authors>
    <author>mmoore</author>
    <author>AMT</author>
    <author>eascoli</author>
  </authors>
  <commentList>
    <comment ref="B27" authorId="0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>Five year review - page 13 10K, 
Item 6: Selected financial data
Pg 106 of PIB</t>
        </r>
      </text>
    </comment>
    <comment ref="D27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53-week period</t>
        </r>
      </text>
    </comment>
    <comment ref="D28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Most of the growth is due to the extra week in fiscal year 2014</t>
        </r>
      </text>
    </comment>
    <comment ref="G30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Cleaned for $4mn restructuring charge embedded in COGS
MD&amp;A p17 10K
p110 of PIB</t>
        </r>
      </text>
    </comment>
    <comment ref="J30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Cleaned for $6mn restructuring charge embedded in COGS
MD&amp;A p28 10Q
p71 of PIB</t>
        </r>
      </text>
    </comment>
    <comment ref="F36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MD&amp;A p17 10K
p110 of PIB</t>
        </r>
      </text>
    </comment>
    <comment ref="G36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MD&amp;A p17 10K
p110 of PIB</t>
        </r>
      </text>
    </comment>
    <comment ref="I36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MD&amp;A p27 10Q
p70 of PIB</t>
        </r>
      </text>
    </comment>
    <comment ref="J36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MD&amp;A p27 10Q
p70 of PIB</t>
        </r>
      </text>
    </comment>
    <comment ref="F37" authorId="1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 xml:space="preserve">$35mn of restructuring on the IS
$47mn in admin expenses
$4mn of reduction of restructuring charge 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MD&amp;A p17 10K
p110 of PIB</t>
        </r>
      </text>
    </comment>
    <comment ref="G37" authorId="1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 xml:space="preserve">$18mn of restructuring on the IS
$36mn in admin expenses
$4mn in COGS 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MD&amp;A p17 10K
p110 of PIB</t>
        </r>
      </text>
    </comment>
    <comment ref="I37" authorId="1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>$11mn in admin expenses
MD&amp;A p28 10Q
p71 of PIB</t>
        </r>
      </text>
    </comment>
    <comment ref="J37" authorId="1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 xml:space="preserve">$35mn of restructuring on the IS
$38mn in admin expenses
$6mn in COGS 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MD&amp;A p28 10Q
p71 of PIB</t>
        </r>
      </text>
    </comment>
    <comment ref="F38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$141mn impairment of Bolthouse farms intangibles
MD&amp;A p17 10K
p110 of PIB</t>
        </r>
      </text>
    </comment>
    <comment ref="G38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$147mn impairment of Bolthouse farms intangibles
$65mn impairment of the garden fresh gourmet
MD&amp;A p17 10K
p110 of PIB</t>
        </r>
      </text>
    </comment>
    <comment ref="I38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$147mn impairment of Bolthouse farms intangibles
$65mn impairment of the garden fresh gourmet
MD&amp;A p28 10Q
p71 of PIB</t>
        </r>
      </text>
    </comment>
    <comment ref="J38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MD&amp;A p28 10Q</t>
        </r>
      </text>
    </comment>
    <comment ref="F39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MD&amp;A p17 10K
p110 of PIB</t>
        </r>
      </text>
    </comment>
    <comment ref="J40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MD&amp;A p28 10Q
p71 of PIB</t>
        </r>
      </text>
    </comment>
    <comment ref="F49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P70 of 10k, 
p164 pdf</t>
        </r>
      </text>
    </comment>
    <comment ref="G49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P70 of 10k, 
p164 pdf</t>
        </r>
      </text>
    </comment>
    <comment ref="I49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Calculated as: D&amp;A (from CFS) minus Amortization</t>
        </r>
      </text>
    </comment>
    <comment ref="J49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Calculated as: D&amp;A (from CFS) minus Amortization</t>
        </r>
      </text>
    </comment>
    <comment ref="F50" authorId="2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In Other expenses / (income)
p21 of AR, p114 of PIB</t>
        </r>
      </text>
    </comment>
    <comment ref="G50" authorId="2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In Other expenses / (income)
p21 of AR, p114 of PIB</t>
        </r>
      </text>
    </comment>
    <comment ref="I50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Note 5, p12 of 10Q
p55 of PIB</t>
        </r>
      </text>
    </comment>
    <comment ref="J50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Note 5, p12 of 10Q
p55 of PIB</t>
        </r>
      </text>
    </comment>
    <comment ref="B51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The sum total matches the D&amp;A on the CFS on p129 of PIB</t>
        </r>
      </text>
    </comment>
    <comment ref="B57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Also matches with the Tax reconcilation in the Tax note
Note 11: Taxes on earnings
p56 of 10k
p149 of PIB</t>
        </r>
      </text>
    </comment>
    <comment ref="B58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P56 10K 
p149 of PIB</t>
        </r>
      </text>
    </comment>
    <comment ref="B59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P56 10K 
p149 of PIB</t>
        </r>
      </text>
    </comment>
    <comment ref="F66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MD&amp;A p17 10K
p110 of PIB</t>
        </r>
      </text>
    </comment>
    <comment ref="G66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MD&amp;A p17 10K
p110 of PIB</t>
        </r>
      </text>
    </comment>
    <comment ref="F67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MD&amp;A p17 10K
p110 of PIB</t>
        </r>
      </text>
    </comment>
    <comment ref="G67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MD&amp;A p17 10K
p110 of PIB</t>
        </r>
      </text>
    </comment>
    <comment ref="F68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MD&amp;A p17 10K
p110 of PIB</t>
        </r>
      </text>
    </comment>
    <comment ref="G68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$139mn impairment of Bolthouse farms intangibles
$41mn impairment of the garden fresh gourmet
MD&amp;A p17 10K
p110 of PIB</t>
        </r>
      </text>
    </comment>
    <comment ref="F69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MD&amp;A p17 10K
p110 of PIB</t>
        </r>
      </text>
    </comment>
    <comment ref="G70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MD&amp;A p17 10K
p110 of PIB</t>
        </r>
      </text>
    </comment>
    <comment ref="B108" authorId="2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>Cash flow statement
p36 of 10k
p129 of PIB</t>
        </r>
      </text>
    </comment>
    <comment ref="B118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Less dividend liability</t>
        </r>
      </text>
    </comment>
  </commentList>
</comments>
</file>

<file path=xl/comments2.xml><?xml version="1.0" encoding="utf-8"?>
<comments xmlns="http://schemas.openxmlformats.org/spreadsheetml/2006/main">
  <authors>
    <author>AMT</author>
    <author>eascoli</author>
  </authors>
  <commentList>
    <comment ref="B27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Years 2015-17 from key figures section of AR (p.3 AR)
Years 2013-14 from 2014 AR.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A component of "Other income (expense)". See note 5.3 (p.94 AR)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From income statement
(and also note 6.1 p. 100 of AR)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Note 5.5 (p.97 AR).  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Note 9.2 (p.110 AR).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The difference between this figure and the D&amp;A reported in CFS is very likely due to impairments of intangible assets (see Note 9.2 p110 AR).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>The difference between this figure and the D&amp;A reported in CFS is likely due to impairments of intangible assets (see Note 9.2 p110 AR) and possibly also to PP&amp;E impairments, although these are not disclosed separately.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Note 8.1 (p.108 AR)</t>
        </r>
      </text>
    </comment>
    <comment ref="B68" authorId="1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>Note 4.8, p92 AR</t>
        </r>
      </text>
    </comment>
    <comment ref="B69" authorId="1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>Note 4.8, p92 AR</t>
        </r>
      </text>
    </comment>
    <comment ref="B82" authorId="1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>Note 13.4, p128 AR</t>
        </r>
      </text>
    </comment>
    <comment ref="B84" authorId="1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>Note 13.4, p128 AR</t>
        </r>
      </text>
    </comment>
    <comment ref="B111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Note 5.5 (p.97 AR). The capex figure on cash flow statement includes intangibles.  </t>
        </r>
      </text>
    </comment>
    <comment ref="B115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Three components:
- Financing (mostly commercial paper and bonds)
- Derivatives (debt-related)
- NCI put option: payments that Danone will have to make if the NCIs decide to sell their shares back to Danone</t>
        </r>
      </text>
    </comment>
    <comment ref="B116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Same as above</t>
        </r>
      </text>
    </comment>
    <comment ref="B117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These are debt-related derivatives (see foonote (a) to the balance sheet)</t>
        </r>
      </text>
    </comment>
    <comment ref="B118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Same as above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Adjusted to remove the derivatives used to hedge the WhiteWave purchase price (amount from sub-note (b) to the balance sheet)</t>
        </r>
      </text>
    </comment>
    <comment ref="B121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Sum of "cash and cash equivalents" and "short term investments".</t>
        </r>
      </text>
    </comment>
  </commentList>
</comments>
</file>

<file path=xl/comments3.xml><?xml version="1.0" encoding="utf-8"?>
<comments xmlns="http://schemas.openxmlformats.org/spreadsheetml/2006/main">
  <authors>
    <author>eascoli</author>
    <author>AMT</author>
  </authors>
  <commentList>
    <comment ref="B27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Selected financial data p22 of 10-K (pdf p48)</t>
        </r>
      </text>
    </comment>
    <comment ref="F27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Non-recurring item from p29 10K, p55 pdf</t>
        </r>
      </text>
    </comment>
    <comment ref="G27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Non-recurring item from p29 10K, p55 pdf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>Non-recurring items listed on p40 of 10-K (pdf p66).
Shipping days adjustment = Adjustment to sales ($14) 
- Adjust. to gross profit ($6m)</t>
        </r>
      </text>
    </comment>
    <comment ref="F31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Matches the adjusted gross profit shown on p40 of 10-K (pdf p66), except for $31 due to Venezuela impact cleaned out of Sales</t>
        </r>
      </text>
    </comment>
    <comment ref="G31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Matches the adjusted gross profit shown on p40 of 10-K (pdf p66), except for $106 due to acquisition/divestitures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>p30 of 10-K (pdf p56)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>p30 of 10-K (pdf p56)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>p30 of 10-K (pdf p56)</t>
        </r>
      </text>
    </comment>
    <comment ref="B39" authorId="0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>p30 of 10-K (pdf p56)</t>
        </r>
      </text>
    </comment>
    <comment ref="F46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Matches the adjusted operating profit shown on p30 of 10-K (pdf p56)</t>
        </r>
      </text>
    </comment>
    <comment ref="G46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Matches the adjusted operating profit shown on p30 of 10-K (pdf p56), except for $23 (25-2) due to acquisition/divestitures and foreign currency impact.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>Page 22 of 10-K (pdf page 48). Adjusted for non-recurring items from page 81 of 10-K (pdf page 107)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>Page 22 of 10-K (pdf page 48). 
Also p77 of 10-k (p103 of pdf)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Note 13
p105 of 10-k; p131 of pdf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Note 13
p105 of 10-k; p131 of pdf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>Pre tax numbers on p27 of 10K (pdf p53).
Tax on p46 of 10K (pdf p72)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>Pre tax numbers on p27 of 10K (pdf p53).
Tax on p46 of 10K (pdf p72)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>Pre tax numbers on p27 of 10K (pdf p53).
Tax on p46 of 10K (pdf p72)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>Pre tax numbers on p27 of 10K (pdf p53).
Tax on p46 of 10K (pdf p72)</t>
        </r>
      </text>
    </comment>
    <comment ref="B70" authorId="0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>Pre tax numbers on p27 of 10K (pdf page 53).
No tax reported.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>Pre tax numbers on p27 of 10K (pdf p53).
Tax on p46 of 10K (pdf p72)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>P27 of 10K (pdf page 53) and p46 of 10K (pdf p72)</t>
        </r>
      </text>
    </comment>
    <comment ref="F80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Matches the adjusted net income shown on p27 of 10-K (pdf p53)</t>
        </r>
      </text>
    </comment>
    <comment ref="G80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Matches the adjusted net income shown on p27 of 10-K (pdf p53)</t>
        </r>
      </text>
    </comment>
    <comment ref="B82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Note 6
p82 of 10-k; p108 of pdf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Note 6
p82 of 10-k; p108 of pdf</t>
        </r>
      </text>
    </comment>
    <comment ref="B111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From CFS</t>
        </r>
      </text>
    </comment>
    <comment ref="B117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Commercial paper and bank borrowings</t>
        </r>
      </text>
    </comment>
    <comment ref="B125" authorId="1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P44 10K, pdf p70</t>
        </r>
      </text>
    </comment>
    <comment ref="F126" authorId="0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>Early redemption charges as per p27 of 10K, pdf p53 (also in p44 of 10K, p70 pdf)</t>
        </r>
      </text>
    </comment>
  </commentList>
</comments>
</file>

<file path=xl/comments4.xml><?xml version="1.0" encoding="utf-8"?>
<comments xmlns="http://schemas.openxmlformats.org/spreadsheetml/2006/main">
  <authors>
    <author>AMT</author>
    <author>eascoli</author>
  </authors>
  <commentList>
    <comment ref="B27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Five year review p150 of AR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From the face of IS
Details in Note 4.1 p86 of AR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From the face of IS
Details in Note 4.1 p86 of AR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From the face of IS
Details in Note 4.2 p87 of AR</t>
        </r>
      </text>
    </comment>
    <comment ref="B39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From the face of IS
Details in Note 4.2 p87 of AR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Note 8 PP&amp;E
p91 of AR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Note 9, p90 of AR</t>
        </r>
      </text>
    </comment>
    <comment ref="B58" authorId="1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>MTR = Expected tax expense at weighted average applicable tax rate / profit before tax 
Note 13.1 p126 of AR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Reported on p5 of document titled 'Alternative Performance Measures'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Reported on p5 of document titled 'Alternative Performance Measures', p289 of PIB</t>
        </r>
      </text>
    </comment>
    <comment ref="B82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Note 15 p130 of AR, p219 of PIB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Note 15 p130 of AR, p219 of PIB</t>
        </r>
      </text>
    </comment>
    <comment ref="B111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Note 8 PP&amp;E
p91 of AR</t>
        </r>
      </text>
    </comment>
    <comment ref="B121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Includes short-term investments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Note 5 p87 of AR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>AMT:</t>
        </r>
        <r>
          <rPr>
            <sz val="9"/>
            <color indexed="81"/>
            <rFont val="Tahoma"/>
            <family val="2"/>
          </rPr>
          <t xml:space="preserve">
Note 5 p87 of AR</t>
        </r>
      </text>
    </comment>
  </commentList>
</comments>
</file>

<file path=xl/sharedStrings.xml><?xml version="1.0" encoding="utf-8"?>
<sst xmlns="http://schemas.openxmlformats.org/spreadsheetml/2006/main" count="527" uniqueCount="165">
  <si>
    <t>Analyst name</t>
  </si>
  <si>
    <t>Special features</t>
  </si>
  <si>
    <t>Model information</t>
  </si>
  <si>
    <t>Currency</t>
  </si>
  <si>
    <t>Units</t>
  </si>
  <si>
    <t>Disclaimer</t>
  </si>
  <si>
    <t>Copyright</t>
  </si>
  <si>
    <t>m</t>
  </si>
  <si>
    <t>USD</t>
  </si>
  <si>
    <t>EBITDA</t>
  </si>
  <si>
    <t>EBIT</t>
  </si>
  <si>
    <t>LTM</t>
  </si>
  <si>
    <t>Sales</t>
  </si>
  <si>
    <t>CAGR</t>
  </si>
  <si>
    <t>ROIC</t>
  </si>
  <si>
    <t>ROE</t>
  </si>
  <si>
    <t>Net debt</t>
  </si>
  <si>
    <t>Total debt</t>
  </si>
  <si>
    <t>Recurring diluted EPS</t>
  </si>
  <si>
    <t>Financial statement analysis - Campbell</t>
  </si>
  <si>
    <t>History</t>
  </si>
  <si>
    <t>Interim</t>
  </si>
  <si>
    <t>Forecast</t>
  </si>
  <si>
    <t>Figures in millions, except per-share data</t>
  </si>
  <si>
    <t>Old</t>
  </si>
  <si>
    <t>New</t>
  </si>
  <si>
    <t>Key income statement data</t>
  </si>
  <si>
    <t>Key ratios</t>
  </si>
  <si>
    <t xml:space="preserve">Sales growth </t>
  </si>
  <si>
    <t>EBITDA margin</t>
  </si>
  <si>
    <t>EBIT margin</t>
  </si>
  <si>
    <t>OWC / sales</t>
  </si>
  <si>
    <t>Net PP&amp;E / sales</t>
  </si>
  <si>
    <t>CAPEX / depreciation</t>
  </si>
  <si>
    <t>Total debt / EBITDA</t>
  </si>
  <si>
    <t>Total net debt / EBITDA</t>
  </si>
  <si>
    <t>EBITDA / interest expense</t>
  </si>
  <si>
    <t>Income statement</t>
  </si>
  <si>
    <t>Sales growth</t>
  </si>
  <si>
    <t>COGS</t>
  </si>
  <si>
    <t>Gross profit</t>
  </si>
  <si>
    <t>Gross margin</t>
  </si>
  <si>
    <t>Reported operating profit</t>
  </si>
  <si>
    <t>Operating profit margin</t>
  </si>
  <si>
    <t>Employee benefit plans remeasurement (gain) loss</t>
  </si>
  <si>
    <t>Restructuring charges</t>
  </si>
  <si>
    <t>Impairments of intangibles</t>
  </si>
  <si>
    <t>Gain on settlement of claim on Kelsen acquisition</t>
  </si>
  <si>
    <t>Transaction costs (Snyder's- Lance acquisition)</t>
  </si>
  <si>
    <t>Non-recurring item 6</t>
  </si>
  <si>
    <t>Non-recurring item 7</t>
  </si>
  <si>
    <t>Non-recurring item 8</t>
  </si>
  <si>
    <t>Non-recurring item 9</t>
  </si>
  <si>
    <t>Non-recurring item 10</t>
  </si>
  <si>
    <t>Depreciation</t>
  </si>
  <si>
    <t>Amortization</t>
  </si>
  <si>
    <t>Depreciation and amortization</t>
  </si>
  <si>
    <t>Earnings before taxes</t>
  </si>
  <si>
    <t>Taxes</t>
  </si>
  <si>
    <t>Reported ETR</t>
  </si>
  <si>
    <t>Statutory tax rate</t>
  </si>
  <si>
    <t>Other taxes affecting marginal tax rate</t>
  </si>
  <si>
    <t>MTR</t>
  </si>
  <si>
    <t>NOPAT</t>
  </si>
  <si>
    <t>Reported net income (total)</t>
  </si>
  <si>
    <t>Net income margin</t>
  </si>
  <si>
    <t>Tax and interest reduction</t>
  </si>
  <si>
    <t>Normalized net income</t>
  </si>
  <si>
    <t>Normalized net income margin</t>
  </si>
  <si>
    <t>WASO - basic</t>
  </si>
  <si>
    <t>Recurring basic EPS</t>
  </si>
  <si>
    <t>WASO - diluted</t>
  </si>
  <si>
    <t>Current assets and liabilities</t>
  </si>
  <si>
    <t>Total current assets</t>
  </si>
  <si>
    <t>Total current liabilities</t>
  </si>
  <si>
    <t>Working Capital</t>
  </si>
  <si>
    <t>Accounts receivable</t>
  </si>
  <si>
    <t>Inventories</t>
  </si>
  <si>
    <t>Other current assets</t>
  </si>
  <si>
    <t>Current operating asset 4</t>
  </si>
  <si>
    <t>Current operating asset 5</t>
  </si>
  <si>
    <t>Payable to suppliers and others</t>
  </si>
  <si>
    <t>Accrued liabilities</t>
  </si>
  <si>
    <t>Accrued income taxes</t>
  </si>
  <si>
    <t>Current operating liability 4</t>
  </si>
  <si>
    <t>Current operating liability 5</t>
  </si>
  <si>
    <t>OWC</t>
  </si>
  <si>
    <t>OWC % sales</t>
  </si>
  <si>
    <t>Receivable days</t>
  </si>
  <si>
    <t>Inventory days</t>
  </si>
  <si>
    <t>Payable days</t>
  </si>
  <si>
    <t>Non current assets</t>
  </si>
  <si>
    <t>Net PP&amp;E</t>
  </si>
  <si>
    <t>Net PPE % sales</t>
  </si>
  <si>
    <t>Capital expenditure</t>
  </si>
  <si>
    <t>Capex / depreciation</t>
  </si>
  <si>
    <t xml:space="preserve">Debt and equity </t>
  </si>
  <si>
    <t>Short-term borrowings</t>
  </si>
  <si>
    <t>Long-term debt</t>
  </si>
  <si>
    <t>Debt tranche 3</t>
  </si>
  <si>
    <t>Debt tranche 4</t>
  </si>
  <si>
    <t>Debt tranche 5</t>
  </si>
  <si>
    <t>Cash &amp; cash equivalents</t>
  </si>
  <si>
    <t>Net debt / EBITDA</t>
  </si>
  <si>
    <t>Interest income</t>
  </si>
  <si>
    <t>Interest expense</t>
  </si>
  <si>
    <t>Equity - book value (inc. NCI)</t>
  </si>
  <si>
    <t>Total debt / equity</t>
  </si>
  <si>
    <t>Returns</t>
  </si>
  <si>
    <t>Invested capital</t>
  </si>
  <si>
    <t>Financial statement analysis - Danone</t>
  </si>
  <si>
    <t>Restructuring costs</t>
  </si>
  <si>
    <t>Other operating (income) / expense</t>
  </si>
  <si>
    <t>Non-recurring item 3</t>
  </si>
  <si>
    <t>Non-recurring item 4</t>
  </si>
  <si>
    <t>Non-recurring item 5</t>
  </si>
  <si>
    <t>Impairment charge in associate income</t>
  </si>
  <si>
    <t>Losses on disposals of associates</t>
  </si>
  <si>
    <t>Noncontrolling interest income</t>
  </si>
  <si>
    <t>Normalized net income attributable to parent</t>
  </si>
  <si>
    <t>Trade receivables</t>
  </si>
  <si>
    <t xml:space="preserve"> </t>
  </si>
  <si>
    <t>Trade payables</t>
  </si>
  <si>
    <t>Other current liabilities</t>
  </si>
  <si>
    <t>Current operating liability 3</t>
  </si>
  <si>
    <t>Current financial debt</t>
  </si>
  <si>
    <t>Non-current financial debt</t>
  </si>
  <si>
    <t>Derivative assets non-current</t>
  </si>
  <si>
    <t>Derivative assets current</t>
  </si>
  <si>
    <t>Financial statement analysis - Kellogg</t>
  </si>
  <si>
    <t>Mark-to-market</t>
  </si>
  <si>
    <t>Project K and cost reduction activities</t>
  </si>
  <si>
    <t>Integration and transaction costs</t>
  </si>
  <si>
    <t>Venezuela adjustments</t>
  </si>
  <si>
    <t>Debt redemption</t>
  </si>
  <si>
    <t>Shipping day differences</t>
  </si>
  <si>
    <t>US tax reform</t>
  </si>
  <si>
    <t>Accounts receivable, net</t>
  </si>
  <si>
    <t>Accounts payable</t>
  </si>
  <si>
    <t>Current maturities of long-term debt</t>
  </si>
  <si>
    <t>Notes payable</t>
  </si>
  <si>
    <t>Financial statement analysis - Nestle</t>
  </si>
  <si>
    <t>Other trading income</t>
  </si>
  <si>
    <t>Other trading expenses</t>
  </si>
  <si>
    <t>Other operating income</t>
  </si>
  <si>
    <t>Other operating expenses</t>
  </si>
  <si>
    <t>Pre-tax non-recurring items (as above)</t>
  </si>
  <si>
    <t>Tax adjustment, as reported</t>
  </si>
  <si>
    <t>Adjustment for income from associates and JVs, as reported</t>
  </si>
  <si>
    <t>Trade and other receivables</t>
  </si>
  <si>
    <t>Prepayments and accrued income</t>
  </si>
  <si>
    <t>Derivative assets</t>
  </si>
  <si>
    <t>Current income tax assets</t>
  </si>
  <si>
    <t>Trade and other payables</t>
  </si>
  <si>
    <t>Accruals and deferred income</t>
  </si>
  <si>
    <t>Provisions</t>
  </si>
  <si>
    <t>Derivative liabilities</t>
  </si>
  <si>
    <t>Current income tax liabilities</t>
  </si>
  <si>
    <t>Financial Statement Analysis</t>
  </si>
  <si>
    <t xml:space="preserve">Income statement </t>
  </si>
  <si>
    <t>Balance sheet</t>
  </si>
  <si>
    <t>Cash flow statement</t>
  </si>
  <si>
    <t>Footnotes</t>
  </si>
  <si>
    <t>Non-recurring items</t>
  </si>
  <si>
    <t>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</si>
</sst>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#,##0.0_);\(#,##0.0\);0.0_);@_)"/>
    <numFmt numFmtId="169" formatCode="#,##0.0_);\(#,##0.0\)"/>
    <numFmt numFmtId="170" formatCode="[$-409]d\-mmm\-yy;@"/>
    <numFmt numFmtId="171" formatCode="dd\-mmm\-yy_)"/>
    <numFmt numFmtId="172" formatCode="0.0%_);\(0.0%\)"/>
    <numFmt numFmtId="173" formatCode="#,##0.00_)\x;\(#,##0.00\)\x"/>
    <numFmt numFmtId="174" formatCode="&quot;Yes&quot;;;&quot;No&quot;"/>
    <numFmt numFmtId="175" formatCode=";;;"/>
    <numFmt numFmtId="176" formatCode="0.0%"/>
    <numFmt numFmtId="177" formatCode="\$#,##0.00_);\(\$#,##0.00\)"/>
    <numFmt numFmtId="178" formatCode="#,##0.00_);\(#,##0.00\);0.00_);@_)"/>
    <numFmt numFmtId="179" formatCode="\€#,##0.00_);\(\€#,##0.00\)"/>
    <numFmt numFmtId="180" formatCode="[$CHF]\ #,##0.00_);\([$CHF]#,##0.00\)"/>
    <numFmt numFmtId="181" formatCode="#,##0.0%_);\(#,##0.0%\)"/>
    <numFmt numFmtId="182" formatCode="#,##0.0;\-#,##0.0"/>
  </numFmts>
  <fonts count="43" x14ac:knownFonts="1">
    <font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u/>
      <sz val="10"/>
      <color theme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24"/>
      <color rgb="FF006100"/>
      <name val="Arial"/>
      <family val="2"/>
    </font>
    <font>
      <sz val="24"/>
      <color rgb="FF9C0006"/>
      <name val="Arial"/>
      <family val="2"/>
    </font>
    <font>
      <sz val="24"/>
      <color rgb="FF9C6500"/>
      <name val="Arial"/>
      <family val="2"/>
    </font>
    <font>
      <b/>
      <sz val="24"/>
      <color rgb="FF3F3F3F"/>
      <name val="Arial"/>
      <family val="2"/>
    </font>
    <font>
      <b/>
      <sz val="24"/>
      <color rgb="FFFA7D00"/>
      <name val="Arial"/>
      <family val="2"/>
    </font>
    <font>
      <sz val="24"/>
      <color rgb="FFFA7D00"/>
      <name val="Arial"/>
      <family val="2"/>
    </font>
    <font>
      <b/>
      <sz val="24"/>
      <color theme="0"/>
      <name val="Arial"/>
      <family val="2"/>
    </font>
    <font>
      <sz val="24"/>
      <color rgb="FFFF0000"/>
      <name val="Arial"/>
      <family val="2"/>
    </font>
    <font>
      <i/>
      <sz val="24"/>
      <color rgb="FF7F7F7F"/>
      <name val="Arial"/>
      <family val="2"/>
    </font>
    <font>
      <b/>
      <sz val="24"/>
      <color theme="1"/>
      <name val="Arial"/>
      <family val="2"/>
    </font>
    <font>
      <sz val="24"/>
      <color theme="0"/>
      <name val="Arial"/>
      <family val="2"/>
    </font>
    <font>
      <sz val="24"/>
      <color theme="1"/>
      <name val="Arial"/>
      <family val="2"/>
    </font>
    <font>
      <u/>
      <sz val="10"/>
      <color theme="11"/>
      <name val="Arial"/>
      <family val="2"/>
    </font>
    <font>
      <b/>
      <sz val="14"/>
      <color theme="5" tint="-0.249977111117893"/>
      <name val="Calibri"/>
      <family val="2"/>
    </font>
    <font>
      <b/>
      <sz val="12"/>
      <color theme="5" tint="-0.249977111117893"/>
      <name val="Calibri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</font>
    <font>
      <b/>
      <sz val="11"/>
      <color theme="2"/>
      <name val="Calibri"/>
      <family val="2"/>
      <scheme val="minor"/>
    </font>
    <font>
      <sz val="10"/>
      <color rgb="FF0000FF"/>
      <name val="Arial"/>
      <family val="2"/>
    </font>
    <font>
      <b/>
      <sz val="14"/>
      <color rgb="FF0000FF"/>
      <name val="Calibri"/>
      <family val="2"/>
    </font>
    <font>
      <b/>
      <sz val="23"/>
      <color rgb="FF0000FF"/>
      <name val="Calibri"/>
      <family val="2"/>
    </font>
    <font>
      <b/>
      <sz val="11"/>
      <color rgb="FF0000FF"/>
      <name val="Calibri"/>
      <family val="2"/>
    </font>
    <font>
      <b/>
      <sz val="11"/>
      <color theme="0"/>
      <name val="Calibri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Arial"/>
      <family val="2"/>
    </font>
    <font>
      <sz val="12"/>
      <name val="Arial"/>
      <family val="2"/>
    </font>
    <font>
      <i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0000FF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8">
    <xf numFmtId="169" fontId="0" fillId="0" borderId="0"/>
    <xf numFmtId="15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169" fontId="26" fillId="33" borderId="1" applyNumberFormat="0" applyAlignment="0" applyProtection="0"/>
    <xf numFmtId="172" fontId="1" fillId="0" borderId="0" applyFont="0" applyFill="0" applyBorder="0" applyAlignment="0" applyProtection="0"/>
    <xf numFmtId="169" fontId="26" fillId="0" borderId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5" borderId="6" applyNumberFormat="0" applyAlignment="0" applyProtection="0"/>
    <xf numFmtId="0" fontId="13" fillId="0" borderId="7" applyNumberFormat="0" applyFill="0" applyAlignment="0" applyProtection="0"/>
    <xf numFmtId="0" fontId="14" fillId="6" borderId="8" applyNumberFormat="0" applyAlignment="0" applyProtection="0"/>
    <xf numFmtId="0" fontId="15" fillId="0" borderId="0" applyNumberFormat="0" applyFill="0" applyBorder="0" applyAlignment="0" applyProtection="0"/>
    <xf numFmtId="0" fontId="1" fillId="7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168" fontId="20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9" fontId="27" fillId="0" borderId="11" applyNumberFormat="0" applyAlignment="0" applyProtection="0"/>
    <xf numFmtId="169" fontId="24" fillId="32" borderId="0" applyNumberFormat="0" applyBorder="0" applyProtection="0">
      <alignment horizontal="left" vertical="center"/>
    </xf>
    <xf numFmtId="169" fontId="25" fillId="0" borderId="0" applyNumberFormat="0" applyFill="0" applyBorder="0" applyAlignment="0" applyProtection="0"/>
    <xf numFmtId="174" fontId="2" fillId="0" borderId="0" applyFont="0" applyFill="0" applyBorder="0" applyAlignment="0" applyProtection="0"/>
    <xf numFmtId="172" fontId="26" fillId="33" borderId="1" applyAlignment="0" applyProtection="0"/>
    <xf numFmtId="168" fontId="1" fillId="0" borderId="0"/>
    <xf numFmtId="172" fontId="26" fillId="34" borderId="1" applyNumberFormat="0" applyFill="0" applyBorder="0" applyAlignment="0" applyProtection="0"/>
    <xf numFmtId="168" fontId="26" fillId="35" borderId="1" applyNumberFormat="0" applyAlignment="0" applyProtection="0"/>
    <xf numFmtId="175" fontId="1" fillId="0" borderId="0"/>
    <xf numFmtId="169" fontId="30" fillId="32" borderId="0" applyBorder="0" applyProtection="0">
      <alignment horizontal="left" vertical="center"/>
    </xf>
    <xf numFmtId="177" fontId="1" fillId="0" borderId="0" applyFill="0" applyBorder="0" applyAlignment="0" applyProtection="0"/>
    <xf numFmtId="179" fontId="1" fillId="0" borderId="0" applyFill="0" applyBorder="0" applyAlignment="0" applyProtection="0"/>
    <xf numFmtId="180" fontId="1" fillId="0" borderId="0" applyFill="0" applyBorder="0" applyAlignment="0" applyProtection="0"/>
    <xf numFmtId="168" fontId="2" fillId="0" borderId="0" applyNumberFormat="0" applyFill="0" applyBorder="0" applyAlignment="0" applyProtection="0"/>
    <xf numFmtId="171" fontId="1" fillId="0" borderId="0" applyFont="0" applyFill="0" applyBorder="0" applyAlignment="0" applyProtection="0"/>
    <xf numFmtId="168" fontId="2" fillId="36" borderId="1" applyNumberFormat="0" applyAlignment="0" applyProtection="0"/>
  </cellStyleXfs>
  <cellXfs count="122">
    <xf numFmtId="169" fontId="0" fillId="0" borderId="0" xfId="0"/>
    <xf numFmtId="169" fontId="21" fillId="0" borderId="0" xfId="0" applyFont="1" applyBorder="1"/>
    <xf numFmtId="37" fontId="22" fillId="0" borderId="0" xfId="0" applyNumberFormat="1" applyFont="1" applyBorder="1" applyAlignment="1">
      <alignment horizontal="center"/>
    </xf>
    <xf numFmtId="169" fontId="23" fillId="0" borderId="0" xfId="0" applyFont="1"/>
    <xf numFmtId="169" fontId="24" fillId="32" borderId="0" xfId="53">
      <alignment horizontal="left" vertical="center"/>
    </xf>
    <xf numFmtId="169" fontId="0" fillId="0" borderId="0" xfId="0"/>
    <xf numFmtId="169" fontId="23" fillId="0" borderId="0" xfId="0" applyFont="1"/>
    <xf numFmtId="37" fontId="27" fillId="0" borderId="11" xfId="52" applyNumberFormat="1"/>
    <xf numFmtId="169" fontId="27" fillId="0" borderId="11" xfId="52"/>
    <xf numFmtId="15" fontId="27" fillId="0" borderId="11" xfId="52" applyNumberFormat="1" applyAlignment="1">
      <alignment horizontal="center"/>
    </xf>
    <xf numFmtId="169" fontId="26" fillId="33" borderId="1" xfId="3" applyAlignment="1">
      <alignment horizontal="center"/>
    </xf>
    <xf numFmtId="169" fontId="28" fillId="0" borderId="0" xfId="0" applyFont="1" applyBorder="1"/>
    <xf numFmtId="168" fontId="27" fillId="0" borderId="0" xfId="52" applyNumberFormat="1" applyFont="1" applyFill="1" applyBorder="1"/>
    <xf numFmtId="168" fontId="29" fillId="0" borderId="0" xfId="52" applyNumberFormat="1" applyFont="1" applyFill="1" applyBorder="1" applyAlignment="1">
      <alignment horizontal="center"/>
    </xf>
    <xf numFmtId="37" fontId="27" fillId="0" borderId="11" xfId="52" applyNumberFormat="1" applyFont="1"/>
    <xf numFmtId="168" fontId="27" fillId="0" borderId="11" xfId="52" applyNumberFormat="1" applyFont="1" applyFill="1"/>
    <xf numFmtId="170" fontId="29" fillId="0" borderId="11" xfId="52" applyNumberFormat="1" applyFont="1" applyFill="1" applyAlignment="1">
      <alignment horizontal="center" vertical="center"/>
    </xf>
    <xf numFmtId="169" fontId="0" fillId="0" borderId="0" xfId="0"/>
    <xf numFmtId="168" fontId="1" fillId="0" borderId="0" xfId="57"/>
    <xf numFmtId="168" fontId="31" fillId="0" borderId="0" xfId="57" applyFont="1"/>
    <xf numFmtId="168" fontId="1" fillId="0" borderId="0" xfId="57" applyFont="1"/>
    <xf numFmtId="176" fontId="1" fillId="0" borderId="0" xfId="57" applyNumberFormat="1" applyFont="1"/>
    <xf numFmtId="168" fontId="1" fillId="0" borderId="0" xfId="57" applyFont="1" applyFill="1"/>
    <xf numFmtId="168" fontId="1" fillId="0" borderId="0" xfId="57" applyFill="1"/>
    <xf numFmtId="178" fontId="1" fillId="0" borderId="0" xfId="57" applyNumberFormat="1" applyFont="1" applyFill="1"/>
    <xf numFmtId="176" fontId="1" fillId="0" borderId="0" xfId="57" applyNumberFormat="1"/>
    <xf numFmtId="172" fontId="0" fillId="0" borderId="0" xfId="4" applyFont="1"/>
    <xf numFmtId="168" fontId="1" fillId="0" borderId="0" xfId="57" applyNumberFormat="1" applyFont="1"/>
    <xf numFmtId="168" fontId="1" fillId="0" borderId="0" xfId="57" applyNumberFormat="1" applyFont="1" applyBorder="1"/>
    <xf numFmtId="168" fontId="1" fillId="0" borderId="0" xfId="57" applyNumberFormat="1" applyFont="1" applyFill="1" applyBorder="1"/>
    <xf numFmtId="178" fontId="1" fillId="0" borderId="0" xfId="57" applyNumberFormat="1" applyFont="1" applyBorder="1"/>
    <xf numFmtId="178" fontId="1" fillId="0" borderId="0" xfId="57" applyNumberFormat="1" applyFont="1"/>
    <xf numFmtId="168" fontId="1" fillId="0" borderId="0" xfId="57" applyNumberFormat="1" applyFont="1" applyFill="1"/>
    <xf numFmtId="168" fontId="34" fillId="0" borderId="0" xfId="57" applyNumberFormat="1" applyFont="1"/>
    <xf numFmtId="168" fontId="1" fillId="0" borderId="0" xfId="57" applyNumberFormat="1" applyFont="1" applyBorder="1" applyAlignment="1">
      <alignment horizontal="right"/>
    </xf>
    <xf numFmtId="168" fontId="1" fillId="0" borderId="0" xfId="57" applyBorder="1"/>
    <xf numFmtId="168" fontId="2" fillId="0" borderId="0" xfId="57" applyNumberFormat="1" applyFont="1"/>
    <xf numFmtId="168" fontId="34" fillId="0" borderId="0" xfId="57" applyNumberFormat="1" applyFont="1" applyBorder="1"/>
    <xf numFmtId="168" fontId="31" fillId="0" borderId="0" xfId="57" applyNumberFormat="1" applyFont="1"/>
    <xf numFmtId="168" fontId="31" fillId="0" borderId="0" xfId="57" applyNumberFormat="1" applyFont="1" applyAlignment="1">
      <alignment horizontal="center"/>
    </xf>
    <xf numFmtId="168" fontId="1" fillId="0" borderId="0" xfId="57" applyNumberFormat="1" applyFont="1" applyBorder="1" applyAlignment="1"/>
    <xf numFmtId="168" fontId="2" fillId="0" borderId="1" xfId="57" applyNumberFormat="1" applyFont="1" applyFill="1" applyBorder="1" applyAlignment="1"/>
    <xf numFmtId="168" fontId="2" fillId="0" borderId="1" xfId="65" applyNumberFormat="1" applyFill="1" applyBorder="1" applyAlignment="1"/>
    <xf numFmtId="168" fontId="2" fillId="0" borderId="0" xfId="57" applyNumberFormat="1" applyFont="1" applyBorder="1" applyAlignment="1">
      <alignment horizontal="right"/>
    </xf>
    <xf numFmtId="178" fontId="2" fillId="0" borderId="1" xfId="65" applyNumberFormat="1" applyFill="1" applyBorder="1" applyAlignment="1"/>
    <xf numFmtId="168" fontId="1" fillId="0" borderId="0" xfId="57" applyFont="1" applyAlignment="1">
      <alignment horizontal="centerContinuous"/>
    </xf>
    <xf numFmtId="168" fontId="34" fillId="0" borderId="0" xfId="57" applyFont="1" applyBorder="1"/>
    <xf numFmtId="168" fontId="1" fillId="0" borderId="0" xfId="57" applyNumberFormat="1" applyFont="1" applyBorder="1" applyAlignment="1">
      <alignment horizontal="center"/>
    </xf>
    <xf numFmtId="172" fontId="1" fillId="0" borderId="0" xfId="4" applyFont="1" applyBorder="1"/>
    <xf numFmtId="168" fontId="1" fillId="0" borderId="0" xfId="57" applyFont="1" applyBorder="1"/>
    <xf numFmtId="176" fontId="1" fillId="0" borderId="0" xfId="57" applyNumberFormat="1" applyFont="1" applyBorder="1"/>
    <xf numFmtId="168" fontId="2" fillId="0" borderId="1" xfId="57" applyNumberFormat="1" applyFont="1" applyBorder="1" applyAlignment="1"/>
    <xf numFmtId="168" fontId="2" fillId="0" borderId="0" xfId="57" applyNumberFormat="1" applyFont="1" applyFill="1" applyBorder="1" applyAlignment="1"/>
    <xf numFmtId="172" fontId="31" fillId="0" borderId="0" xfId="4" applyFont="1"/>
    <xf numFmtId="172" fontId="31" fillId="0" borderId="0" xfId="4" applyFont="1" applyFill="1"/>
    <xf numFmtId="172" fontId="31" fillId="0" borderId="0" xfId="4" applyFont="1" applyFill="1" applyBorder="1"/>
    <xf numFmtId="172" fontId="0" fillId="0" borderId="0" xfId="4" applyFont="1" applyFill="1"/>
    <xf numFmtId="172" fontId="0" fillId="0" borderId="0" xfId="4" applyFont="1" applyFill="1" applyBorder="1"/>
    <xf numFmtId="168" fontId="2" fillId="0" borderId="1" xfId="65" applyNumberFormat="1" applyBorder="1" applyAlignment="1"/>
    <xf numFmtId="168" fontId="1" fillId="0" borderId="0" xfId="57" applyNumberFormat="1" applyFill="1" applyBorder="1" applyAlignment="1"/>
    <xf numFmtId="168" fontId="38" fillId="0" borderId="0" xfId="57" applyFont="1"/>
    <xf numFmtId="168" fontId="34" fillId="0" borderId="0" xfId="57" applyFont="1"/>
    <xf numFmtId="168" fontId="32" fillId="0" borderId="0" xfId="57" applyNumberFormat="1" applyFont="1" applyFill="1" applyBorder="1" applyAlignment="1"/>
    <xf numFmtId="168" fontId="2" fillId="0" borderId="0" xfId="57" applyNumberFormat="1" applyFont="1" applyFill="1"/>
    <xf numFmtId="168" fontId="2" fillId="0" borderId="0" xfId="57" applyNumberFormat="1" applyFont="1" applyBorder="1" applyAlignment="1"/>
    <xf numFmtId="168" fontId="2" fillId="0" borderId="0" xfId="57" applyNumberFormat="1" applyFont="1" applyAlignment="1">
      <alignment wrapText="1"/>
    </xf>
    <xf numFmtId="168" fontId="2" fillId="0" borderId="0" xfId="57" applyNumberFormat="1" applyFont="1" applyFill="1" applyAlignment="1">
      <alignment wrapText="1"/>
    </xf>
    <xf numFmtId="176" fontId="2" fillId="0" borderId="0" xfId="57" applyNumberFormat="1" applyFont="1" applyFill="1" applyBorder="1" applyAlignment="1"/>
    <xf numFmtId="168" fontId="38" fillId="0" borderId="0" xfId="57" applyNumberFormat="1" applyFont="1"/>
    <xf numFmtId="172" fontId="2" fillId="0" borderId="1" xfId="57" applyNumberFormat="1" applyFont="1" applyBorder="1" applyAlignment="1"/>
    <xf numFmtId="172" fontId="1" fillId="0" borderId="0" xfId="57" applyNumberFormat="1" applyFill="1" applyBorder="1" applyAlignment="1"/>
    <xf numFmtId="168" fontId="35" fillId="0" borderId="0" xfId="57" applyNumberFormat="1" applyFont="1"/>
    <xf numFmtId="172" fontId="35" fillId="0" borderId="0" xfId="4" applyFont="1" applyFill="1" applyBorder="1"/>
    <xf numFmtId="181" fontId="31" fillId="0" borderId="0" xfId="4" applyNumberFormat="1" applyFont="1" applyFill="1"/>
    <xf numFmtId="181" fontId="31" fillId="0" borderId="0" xfId="4" applyNumberFormat="1" applyFont="1" applyFill="1" applyBorder="1"/>
    <xf numFmtId="178" fontId="1" fillId="0" borderId="0" xfId="57" applyNumberFormat="1" applyFont="1" applyFill="1" applyBorder="1"/>
    <xf numFmtId="178" fontId="34" fillId="0" borderId="0" xfId="57" applyNumberFormat="1" applyFont="1" applyFill="1" applyBorder="1"/>
    <xf numFmtId="168" fontId="34" fillId="0" borderId="0" xfId="57" applyNumberFormat="1" applyFont="1" applyFill="1" applyBorder="1"/>
    <xf numFmtId="168" fontId="31" fillId="0" borderId="0" xfId="57" applyNumberFormat="1" applyFont="1" applyFill="1" applyBorder="1"/>
    <xf numFmtId="169" fontId="1" fillId="0" borderId="0" xfId="57" applyNumberFormat="1" applyFont="1" applyProtection="1">
      <protection locked="0"/>
    </xf>
    <xf numFmtId="178" fontId="31" fillId="0" borderId="0" xfId="57" applyNumberFormat="1" applyFont="1" applyBorder="1"/>
    <xf numFmtId="172" fontId="31" fillId="0" borderId="0" xfId="4" applyFont="1" applyBorder="1"/>
    <xf numFmtId="168" fontId="39" fillId="0" borderId="0" xfId="57" applyNumberFormat="1" applyFont="1"/>
    <xf numFmtId="168" fontId="39" fillId="0" borderId="0" xfId="57" applyNumberFormat="1" applyFont="1" applyBorder="1"/>
    <xf numFmtId="9" fontId="1" fillId="0" borderId="0" xfId="57" applyNumberFormat="1" applyFont="1" applyBorder="1"/>
    <xf numFmtId="168" fontId="34" fillId="0" borderId="0" xfId="57" applyNumberFormat="1" applyFont="1" applyFill="1"/>
    <xf numFmtId="169" fontId="0" fillId="0" borderId="0" xfId="4" applyNumberFormat="1" applyFont="1" applyFill="1"/>
    <xf numFmtId="168" fontId="40" fillId="0" borderId="0" xfId="57" applyNumberFormat="1" applyFont="1" applyFill="1" applyBorder="1" applyAlignment="1"/>
    <xf numFmtId="176" fontId="31" fillId="0" borderId="0" xfId="57" applyNumberFormat="1" applyFont="1"/>
    <xf numFmtId="168" fontId="2" fillId="0" borderId="12" xfId="57" applyNumberFormat="1" applyFont="1" applyBorder="1" applyAlignment="1"/>
    <xf numFmtId="169" fontId="0" fillId="0" borderId="0" xfId="4" applyNumberFormat="1" applyFont="1"/>
    <xf numFmtId="168" fontId="2" fillId="0" borderId="1" xfId="65" applyFill="1" applyBorder="1"/>
    <xf numFmtId="168" fontId="1" fillId="0" borderId="0" xfId="57" applyNumberFormat="1" applyFont="1" applyFill="1" applyBorder="1" applyAlignment="1"/>
    <xf numFmtId="172" fontId="2" fillId="0" borderId="1" xfId="57" applyNumberFormat="1" applyFont="1" applyFill="1" applyBorder="1" applyAlignment="1"/>
    <xf numFmtId="168" fontId="1" fillId="0" borderId="1" xfId="57" applyNumberFormat="1" applyFont="1" applyBorder="1" applyAlignment="1"/>
    <xf numFmtId="182" fontId="1" fillId="0" borderId="0" xfId="57" applyNumberFormat="1" applyFont="1" applyFill="1" applyBorder="1" applyAlignment="1">
      <alignment horizontal="right"/>
    </xf>
    <xf numFmtId="168" fontId="33" fillId="0" borderId="0" xfId="57" applyNumberFormat="1" applyFont="1" applyFill="1" applyBorder="1" applyAlignment="1"/>
    <xf numFmtId="176" fontId="1" fillId="0" borderId="0" xfId="57" applyNumberFormat="1" applyFont="1" applyFill="1" applyBorder="1"/>
    <xf numFmtId="168" fontId="34" fillId="0" borderId="0" xfId="57" applyNumberFormat="1" applyFont="1" applyBorder="1" applyAlignment="1"/>
    <xf numFmtId="168" fontId="41" fillId="0" borderId="0" xfId="57" applyNumberFormat="1" applyFont="1"/>
    <xf numFmtId="168" fontId="2" fillId="0" borderId="1" xfId="65" applyNumberFormat="1" applyFont="1" applyBorder="1" applyAlignment="1"/>
    <xf numFmtId="178" fontId="2" fillId="0" borderId="1" xfId="65" applyNumberFormat="1" applyBorder="1" applyAlignment="1"/>
    <xf numFmtId="178" fontId="2" fillId="0" borderId="1" xfId="65" applyNumberFormat="1" applyFont="1" applyBorder="1" applyAlignment="1"/>
    <xf numFmtId="172" fontId="1" fillId="0" borderId="0" xfId="4" applyFont="1" applyFill="1" applyBorder="1"/>
    <xf numFmtId="37" fontId="0" fillId="0" borderId="0" xfId="4" applyNumberFormat="1" applyFont="1" applyFill="1"/>
    <xf numFmtId="168" fontId="41" fillId="0" borderId="0" xfId="57" applyFont="1"/>
    <xf numFmtId="168" fontId="41" fillId="0" borderId="0" xfId="57" applyFont="1" applyBorder="1"/>
    <xf numFmtId="168" fontId="42" fillId="0" borderId="0" xfId="57" applyNumberFormat="1" applyFont="1" applyFill="1" applyBorder="1" applyAlignment="1" applyProtection="1">
      <alignment vertical="center"/>
      <protection hidden="1"/>
    </xf>
    <xf numFmtId="168" fontId="42" fillId="0" borderId="0" xfId="57" applyFont="1" applyFill="1" applyBorder="1" applyAlignment="1" applyProtection="1">
      <alignment horizontal="center"/>
      <protection locked="0"/>
    </xf>
    <xf numFmtId="168" fontId="42" fillId="0" borderId="0" xfId="57" applyNumberFormat="1" applyFont="1" applyFill="1" applyBorder="1" applyAlignment="1" applyProtection="1">
      <alignment vertical="center"/>
      <protection locked="0"/>
    </xf>
    <xf numFmtId="168" fontId="42" fillId="0" borderId="0" xfId="57" applyNumberFormat="1" applyFont="1" applyFill="1" applyBorder="1" applyProtection="1">
      <protection locked="0"/>
    </xf>
    <xf numFmtId="168" fontId="23" fillId="0" borderId="0" xfId="57" applyNumberFormat="1" applyFont="1"/>
    <xf numFmtId="168" fontId="25" fillId="0" borderId="0" xfId="54" applyNumberFormat="1"/>
    <xf numFmtId="168" fontId="25" fillId="0" borderId="0" xfId="54" applyNumberFormat="1" applyBorder="1"/>
    <xf numFmtId="172" fontId="1" fillId="0" borderId="0" xfId="4" applyFont="1"/>
    <xf numFmtId="172" fontId="1" fillId="0" borderId="0" xfId="4" applyFont="1" applyFill="1"/>
    <xf numFmtId="172" fontId="34" fillId="0" borderId="0" xfId="4" applyFont="1" applyFill="1"/>
    <xf numFmtId="172" fontId="34" fillId="0" borderId="0" xfId="4" applyFont="1"/>
    <xf numFmtId="181" fontId="1" fillId="0" borderId="0" xfId="4" applyNumberFormat="1" applyFont="1" applyFill="1"/>
    <xf numFmtId="4" fontId="1" fillId="0" borderId="0" xfId="4" applyNumberFormat="1" applyFont="1"/>
    <xf numFmtId="168" fontId="2" fillId="0" borderId="1" xfId="65" applyFont="1" applyFill="1" applyBorder="1"/>
    <xf numFmtId="168" fontId="25" fillId="0" borderId="0" xfId="54" applyNumberFormat="1" applyFont="1"/>
  </cellXfs>
  <cellStyles count="68">
    <cellStyle name="20% - Accent1" xfId="23" builtinId="30" hidden="1"/>
    <cellStyle name="20% - Accent2" xfId="27" builtinId="34" hidden="1"/>
    <cellStyle name="20% - Accent3" xfId="31" builtinId="38" hidden="1"/>
    <cellStyle name="20% - Accent4" xfId="35" builtinId="42" hidden="1"/>
    <cellStyle name="20% - Accent5" xfId="39" builtinId="46" hidden="1"/>
    <cellStyle name="20% - Accent6" xfId="43" builtinId="50" hidden="1"/>
    <cellStyle name="40% - Accent1" xfId="24" builtinId="31" hidden="1"/>
    <cellStyle name="40% - Accent2" xfId="28" builtinId="35" hidden="1"/>
    <cellStyle name="40% - Accent3" xfId="32" builtinId="39" hidden="1"/>
    <cellStyle name="40% - Accent4" xfId="36" builtinId="43" hidden="1"/>
    <cellStyle name="40% - Accent5" xfId="40" builtinId="47" hidden="1"/>
    <cellStyle name="40% - Accent6" xfId="44" builtinId="51" hidden="1"/>
    <cellStyle name="60% - Accent1" xfId="25" builtinId="32" hidden="1"/>
    <cellStyle name="60% - Accent2" xfId="29" builtinId="36" hidden="1"/>
    <cellStyle name="60% - Accent3" xfId="33" builtinId="40" hidden="1"/>
    <cellStyle name="60% - Accent4" xfId="37" builtinId="44" hidden="1"/>
    <cellStyle name="60% - Accent5" xfId="41" builtinId="48" hidden="1"/>
    <cellStyle name="60% - Accent6" xfId="45" builtinId="52" hidden="1"/>
    <cellStyle name="Accent1" xfId="22" builtinId="29" hidden="1"/>
    <cellStyle name="Accent2" xfId="26" builtinId="33" hidden="1"/>
    <cellStyle name="Accent3" xfId="30" builtinId="37" hidden="1"/>
    <cellStyle name="Accent4" xfId="34" builtinId="41" hidden="1"/>
    <cellStyle name="Accent5" xfId="38" builtinId="45" hidden="1"/>
    <cellStyle name="Accent6" xfId="42" builtinId="49" hidden="1"/>
    <cellStyle name="Bad" xfId="12" builtinId="27" hidden="1"/>
    <cellStyle name="Blank" xfId="60"/>
    <cellStyle name="Blue" xfId="58"/>
    <cellStyle name="Blue 2" xfId="65"/>
    <cellStyle name="Calculation" xfId="15" builtinId="22" hidden="1"/>
    <cellStyle name="Check Cell" xfId="17" builtinId="23" hidden="1"/>
    <cellStyle name="Comma" xfId="47" builtinId="3" hidden="1"/>
    <cellStyle name="Comma [0]" xfId="48" builtinId="6" hidden="1"/>
    <cellStyle name="Currency" xfId="49" builtinId="4" hidden="1"/>
    <cellStyle name="Currency [0]" xfId="50" builtinId="7" hidden="1"/>
    <cellStyle name="Date" xfId="1"/>
    <cellStyle name="Date 2" xfId="66"/>
    <cellStyle name="Dollar" xfId="62"/>
    <cellStyle name="Euro" xfId="63"/>
    <cellStyle name="Explanatory Text" xfId="20" builtinId="53" hidden="1"/>
    <cellStyle name="Followed Hyperlink" xfId="46" builtinId="9" hidden="1"/>
    <cellStyle name="Good" xfId="11" builtinId="26" hidden="1"/>
    <cellStyle name="Header" xfId="52"/>
    <cellStyle name="Heading 1" xfId="7" builtinId="16" hidden="1"/>
    <cellStyle name="Heading 2" xfId="8" builtinId="17" hidden="1"/>
    <cellStyle name="Heading 3" xfId="9" builtinId="18" hidden="1"/>
    <cellStyle name="Heading 4" xfId="10" builtinId="19" hidden="1"/>
    <cellStyle name="Historics" xfId="5"/>
    <cellStyle name="Hyperlink" xfId="2" builtinId="8" hidden="1"/>
    <cellStyle name="I" xfId="59"/>
    <cellStyle name="Input" xfId="3" builtinId="20" customBuiltin="1"/>
    <cellStyle name="Input %" xfId="56"/>
    <cellStyle name="Input 2" xfId="67"/>
    <cellStyle name="Linked Cell" xfId="16" builtinId="24" hidden="1"/>
    <cellStyle name="Multiple" xfId="51"/>
    <cellStyle name="Neutral" xfId="13" builtinId="28" hidden="1"/>
    <cellStyle name="Normal" xfId="0" builtinId="0" customBuiltin="1"/>
    <cellStyle name="Normal 2" xfId="57"/>
    <cellStyle name="Note" xfId="19" builtinId="10" hidden="1"/>
    <cellStyle name="Output" xfId="14" builtinId="21" hidden="1"/>
    <cellStyle name="Percent" xfId="4" builtinId="5" customBuiltin="1"/>
    <cellStyle name="SubHeader" xfId="53"/>
    <cellStyle name="SubHeader 3" xfId="61"/>
    <cellStyle name="SubHeader2" xfId="54"/>
    <cellStyle name="SwissF" xfId="64"/>
    <cellStyle name="Title" xfId="6" builtinId="15" hidden="1"/>
    <cellStyle name="Total" xfId="21" builtinId="25" hidden="1"/>
    <cellStyle name="Warning Text" xfId="18" builtinId="11" hidden="1"/>
    <cellStyle name="YesNo" xfId="55"/>
  </cellStyles>
  <dxfs count="2">
    <dxf>
      <font>
        <b/>
        <i val="0"/>
        <color rgb="FF0000FF"/>
      </font>
    </dxf>
    <dxf>
      <font>
        <b/>
        <i val="0"/>
        <color rgb="FF0500FF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E00"/>
      <rgbColor rgb="00000080"/>
      <rgbColor rgb="00808000"/>
      <rgbColor rgb="00800080"/>
      <rgbColor rgb="00008080"/>
      <rgbColor rgb="00C0C0C0"/>
      <rgbColor rgb="00808080"/>
      <rgbColor rgb="00EAFFDF"/>
      <rgbColor rgb="00993366"/>
      <rgbColor rgb="00FFFFCB"/>
      <rgbColor rgb="00E3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3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E1E1E1"/>
      <color rgb="FF0500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14145</xdr:rowOff>
    </xdr:from>
    <xdr:to>
      <xdr:col>9</xdr:col>
      <xdr:colOff>726163</xdr:colOff>
      <xdr:row>33</xdr:row>
      <xdr:rowOff>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C79B3ECB-B9BE-44B5-9E8B-90A774F02121}"/>
            </a:ext>
          </a:extLst>
        </xdr:cNvPr>
        <xdr:cNvSpPr>
          <a:spLocks noChangeArrowheads="1"/>
        </xdr:cNvSpPr>
      </xdr:nvSpPr>
      <xdr:spPr bwMode="auto">
        <a:xfrm>
          <a:off x="2366963" y="5519595"/>
          <a:ext cx="7474625" cy="90016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GB" sz="1100" b="0" i="0" u="none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Arial"/>
            </a:rPr>
            <a:t>For Training Purposes Only  </a:t>
          </a:r>
        </a:p>
        <a:p>
          <a:pPr algn="l" rtl="0">
            <a:defRPr sz="1000"/>
          </a:pPr>
          <a:r>
            <a:rPr lang="en-GB" sz="1100" b="0" i="0" u="none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Arial"/>
            </a:rPr>
            <a:t>© AMT Training Ltd</a:t>
          </a:r>
        </a:p>
        <a:p>
          <a:pPr algn="l" rtl="0">
            <a:defRPr sz="1000"/>
          </a:pPr>
          <a:r>
            <a:rPr lang="en-GB" sz="1100" b="0" i="0" u="none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Arial"/>
            </a:rPr>
            <a:t>All rights reserved</a:t>
          </a:r>
        </a:p>
        <a:p>
          <a:pPr algn="l" rtl="0">
            <a:defRPr sz="1000"/>
          </a:pPr>
          <a:r>
            <a:rPr lang="en-GB" sz="1100" b="0" i="0" u="none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Arial"/>
            </a:rPr>
            <a:t>www.amttraining.com</a:t>
          </a:r>
        </a:p>
      </xdr:txBody>
    </xdr:sp>
    <xdr:clientData/>
  </xdr:twoCellAnchor>
  <xdr:twoCellAnchor>
    <xdr:from>
      <xdr:col>2</xdr:col>
      <xdr:colOff>0</xdr:colOff>
      <xdr:row>23</xdr:row>
      <xdr:rowOff>14145</xdr:rowOff>
    </xdr:from>
    <xdr:to>
      <xdr:col>9</xdr:col>
      <xdr:colOff>726163</xdr:colOff>
      <xdr:row>27</xdr:row>
      <xdr:rowOff>0</xdr:rowOff>
    </xdr:to>
    <xdr:sp macro="" textlink="">
      <xdr:nvSpPr>
        <xdr:cNvPr id="3" name="Rectangle 3">
          <a:extLst>
            <a:ext uri="{FF2B5EF4-FFF2-40B4-BE49-F238E27FC236}">
              <a16:creationId xmlns="" xmlns:a16="http://schemas.microsoft.com/office/drawing/2014/main" id="{7C0CFCC6-5690-4E4C-B453-0997B3D77F6E}"/>
            </a:ext>
          </a:extLst>
        </xdr:cNvPr>
        <xdr:cNvSpPr>
          <a:spLocks noChangeArrowheads="1"/>
        </xdr:cNvSpPr>
      </xdr:nvSpPr>
      <xdr:spPr bwMode="auto">
        <a:xfrm>
          <a:off x="2366963" y="4386120"/>
          <a:ext cx="7474625" cy="70975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GB" sz="1100" b="0" i="0" u="none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Arial"/>
            </a:rPr>
            <a:t>The use of this model is intended solely as a learning aid for participants in AMT's training programs or academic courses.  </a:t>
          </a:r>
          <a:br>
            <a:rPr lang="en-GB" sz="1100" b="0" i="0" u="none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Arial"/>
            </a:rPr>
          </a:br>
          <a:r>
            <a:rPr lang="en-GB" sz="1100" b="0" i="0" u="none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Arial"/>
            </a:rPr>
            <a:t>AMT assumes no responsibility or liability whatsoever, to the client or to any third party, for any other use or purpose.</a:t>
          </a:r>
        </a:p>
        <a:p>
          <a:pPr algn="l" rtl="0">
            <a:defRPr sz="1000"/>
          </a:pPr>
          <a:endParaRPr lang="en-GB" sz="1100" b="0" i="0" u="none" strike="noStrike" baseline="0">
            <a:solidFill>
              <a:schemeClr val="accent2">
                <a:lumMod val="75000"/>
              </a:schemeClr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n-GB" sz="1100" b="0" i="0" u="none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Arial"/>
            </a:rPr>
            <a:t>WARNING!  You may not be able to perform some normal Excel operations in this file. It may be protected against certain actions. </a:t>
          </a:r>
        </a:p>
      </xdr:txBody>
    </xdr:sp>
    <xdr:clientData/>
  </xdr:twoCellAnchor>
  <xdr:twoCellAnchor editAs="oneCell">
    <xdr:from>
      <xdr:col>0</xdr:col>
      <xdr:colOff>106098</xdr:colOff>
      <xdr:row>29</xdr:row>
      <xdr:rowOff>170718</xdr:rowOff>
    </xdr:from>
    <xdr:to>
      <xdr:col>1</xdr:col>
      <xdr:colOff>2047826</xdr:colOff>
      <xdr:row>32</xdr:row>
      <xdr:rowOff>34079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D33F7785-413F-470D-9916-65495FB10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8" y="6371493"/>
          <a:ext cx="2103653" cy="4348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MT Training">
      <a:dk1>
        <a:srgbClr val="000000"/>
      </a:dk1>
      <a:lt1>
        <a:sysClr val="window" lastClr="FFFFFF"/>
      </a:lt1>
      <a:dk2>
        <a:srgbClr val="46484C"/>
      </a:dk2>
      <a:lt2>
        <a:srgbClr val="65686D"/>
      </a:lt2>
      <a:accent1>
        <a:srgbClr val="AFD7FF"/>
      </a:accent1>
      <a:accent2>
        <a:srgbClr val="007BEA"/>
      </a:accent2>
      <a:accent3>
        <a:srgbClr val="64E8C8"/>
      </a:accent3>
      <a:accent4>
        <a:srgbClr val="6DB9FF"/>
      </a:accent4>
      <a:accent5>
        <a:srgbClr val="C5D2D5"/>
      </a:accent5>
      <a:accent6>
        <a:srgbClr val="FFFFA0"/>
      </a:accent6>
      <a:hlink>
        <a:srgbClr val="00B050"/>
      </a:hlink>
      <a:folHlink>
        <a:srgbClr val="D2001E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9"/>
  <sheetViews>
    <sheetView showGridLines="0" tabSelected="1" zoomScaleNormal="100" workbookViewId="0"/>
  </sheetViews>
  <sheetFormatPr defaultColWidth="9.140625" defaultRowHeight="15" x14ac:dyDescent="0.25"/>
  <cols>
    <col min="1" max="1" width="2.42578125" style="3" customWidth="1"/>
    <col min="2" max="2" width="30.7109375" style="3" customWidth="1"/>
    <col min="3" max="3" width="13.42578125" style="3" customWidth="1"/>
    <col min="4" max="4" width="14.140625" style="3" customWidth="1"/>
    <col min="5" max="14" width="13.42578125" style="3" customWidth="1"/>
    <col min="15" max="15" width="13.140625" style="3" customWidth="1"/>
    <col min="16" max="16" width="12.7109375" style="3" customWidth="1"/>
    <col min="17" max="17" width="13.140625" style="3" customWidth="1"/>
    <col min="18" max="16384" width="9.140625" style="3"/>
  </cols>
  <sheetData>
    <row r="1" spans="1:15" ht="30" x14ac:dyDescent="0.45">
      <c r="A1" s="11" t="s">
        <v>158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9.5" thickBot="1" x14ac:dyDescent="0.35">
      <c r="A2" s="7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5.75" thickTop="1" x14ac:dyDescent="0.25"/>
    <row r="4" spans="1:15" ht="18.75" x14ac:dyDescent="0.25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s="17" customFormat="1" ht="12.75" x14ac:dyDescent="0.2"/>
    <row r="6" spans="1:15" s="17" customFormat="1" ht="12.75" x14ac:dyDescent="0.2">
      <c r="B6" s="17" t="s">
        <v>159</v>
      </c>
    </row>
    <row r="7" spans="1:15" s="17" customFormat="1" ht="12.75" x14ac:dyDescent="0.2">
      <c r="B7" s="17" t="s">
        <v>160</v>
      </c>
    </row>
    <row r="8" spans="1:15" s="17" customFormat="1" ht="12.75" x14ac:dyDescent="0.2">
      <c r="B8" s="17" t="s">
        <v>161</v>
      </c>
    </row>
    <row r="9" spans="1:15" s="17" customFormat="1" ht="12.75" x14ac:dyDescent="0.2">
      <c r="B9" s="17" t="s">
        <v>162</v>
      </c>
    </row>
    <row r="10" spans="1:15" s="17" customFormat="1" ht="12.75" x14ac:dyDescent="0.2">
      <c r="B10" s="17" t="s">
        <v>163</v>
      </c>
    </row>
    <row r="11" spans="1:15" s="17" customFormat="1" ht="12.75" x14ac:dyDescent="0.2">
      <c r="B11" s="17" t="s">
        <v>164</v>
      </c>
    </row>
    <row r="12" spans="1:15" s="17" customFormat="1" ht="12.75" x14ac:dyDescent="0.2"/>
    <row r="13" spans="1:15" s="17" customFormat="1" ht="12.75" x14ac:dyDescent="0.2"/>
    <row r="14" spans="1:15" s="17" customFormat="1" ht="12.75" x14ac:dyDescent="0.2"/>
    <row r="15" spans="1:15" s="17" customFormat="1" ht="12.75" x14ac:dyDescent="0.2"/>
    <row r="16" spans="1:15" s="17" customFormat="1" ht="12.75" x14ac:dyDescent="0.2"/>
    <row r="17" spans="1:15" ht="18.75" x14ac:dyDescent="0.25">
      <c r="A17" s="4" t="s">
        <v>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9" spans="1:15" x14ac:dyDescent="0.25">
      <c r="B19" s="5" t="s">
        <v>3</v>
      </c>
      <c r="C19" s="10" t="s">
        <v>8</v>
      </c>
    </row>
    <row r="20" spans="1:15" x14ac:dyDescent="0.25">
      <c r="B20" s="5" t="s">
        <v>4</v>
      </c>
      <c r="C20" s="10" t="s">
        <v>7</v>
      </c>
    </row>
    <row r="21" spans="1:15" x14ac:dyDescent="0.25">
      <c r="B21" s="5" t="s">
        <v>0</v>
      </c>
      <c r="C21" s="10" t="s">
        <v>0</v>
      </c>
    </row>
    <row r="23" spans="1:15" ht="18.75" x14ac:dyDescent="0.25">
      <c r="A23" s="4" t="s">
        <v>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9" spans="1:15" ht="18.75" x14ac:dyDescent="0.25">
      <c r="A29" s="4" t="s">
        <v>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</sheetData>
  <conditionalFormatting sqref="B12:B14">
    <cfRule type="expression" dxfId="1" priority="1">
      <formula>$B12=#REF!</formula>
    </cfRule>
  </conditionalFormatting>
  <conditionalFormatting sqref="B7:B9">
    <cfRule type="expression" dxfId="0" priority="4">
      <formula>$B7=#REF!</formula>
    </cfRule>
  </conditionalFormatting>
  <pageMargins left="0.74803149606299213" right="0.74803149606299213" top="0.98425196850393704" bottom="0.98425196850393704" header="0.51181102362204722" footer="0.51181102362204722"/>
  <pageSetup paperSize="9" scale="63" fitToHeight="4" orientation="landscape" horizontalDpi="4294967292" r:id="rId1"/>
  <headerFooter alignWithMargins="0">
    <oddHeader>&amp;L&amp;F &amp;A</oddHeader>
    <oddFooter>&amp;L© Adkins Matchett &amp; Toy 2017&amp;R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39"/>
    <pageSetUpPr autoPageBreaks="0"/>
  </sheetPr>
  <dimension ref="A1:X137"/>
  <sheetViews>
    <sheetView showGridLines="0" zoomScaleNormal="100" workbookViewId="0"/>
  </sheetViews>
  <sheetFormatPr defaultColWidth="9.140625" defaultRowHeight="12.75" x14ac:dyDescent="0.2"/>
  <cols>
    <col min="1" max="1" width="2.28515625" style="27" customWidth="1"/>
    <col min="2" max="2" width="48.7109375" style="27" customWidth="1"/>
    <col min="3" max="10" width="10.28515625" style="27" customWidth="1"/>
    <col min="11" max="11" width="10.28515625" style="28" customWidth="1"/>
    <col min="12" max="13" width="10.28515625" style="27" customWidth="1"/>
    <col min="14" max="14" width="12.5703125" style="27" bestFit="1" customWidth="1"/>
    <col min="15" max="15" width="12" style="27" bestFit="1" customWidth="1"/>
    <col min="16" max="16384" width="9.140625" style="27"/>
  </cols>
  <sheetData>
    <row r="1" spans="1:19" ht="30" x14ac:dyDescent="0.45">
      <c r="A1" s="11" t="s">
        <v>19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9" s="111" customFormat="1" ht="15" customHeight="1" x14ac:dyDescent="0.25">
      <c r="A2" s="107"/>
      <c r="B2" s="107"/>
      <c r="C2" s="108" t="s">
        <v>20</v>
      </c>
      <c r="D2" s="108" t="s">
        <v>20</v>
      </c>
      <c r="E2" s="108" t="s">
        <v>20</v>
      </c>
      <c r="F2" s="108" t="s">
        <v>20</v>
      </c>
      <c r="G2" s="108" t="s">
        <v>20</v>
      </c>
      <c r="H2" s="108"/>
      <c r="I2" s="108" t="s">
        <v>21</v>
      </c>
      <c r="J2" s="108" t="s">
        <v>21</v>
      </c>
      <c r="K2" s="108" t="s">
        <v>22</v>
      </c>
      <c r="L2" s="108" t="s">
        <v>22</v>
      </c>
      <c r="M2" s="108" t="s">
        <v>22</v>
      </c>
      <c r="N2" s="109"/>
      <c r="O2" s="109"/>
      <c r="P2" s="109"/>
      <c r="Q2" s="109"/>
      <c r="R2" s="110"/>
      <c r="S2" s="110"/>
    </row>
    <row r="3" spans="1:19" s="6" customFormat="1" ht="19.5" thickBot="1" x14ac:dyDescent="0.35">
      <c r="A3" s="14" t="s">
        <v>23</v>
      </c>
      <c r="B3" s="15"/>
      <c r="C3" s="16">
        <f>EDATE(D3,-12)</f>
        <v>41486</v>
      </c>
      <c r="D3" s="16">
        <f>EDATE(E3,-12)</f>
        <v>41851</v>
      </c>
      <c r="E3" s="16">
        <f>EDATE(F3,-12)</f>
        <v>42216</v>
      </c>
      <c r="F3" s="16">
        <v>42582</v>
      </c>
      <c r="G3" s="16">
        <v>42946</v>
      </c>
      <c r="H3" s="16" t="s">
        <v>11</v>
      </c>
      <c r="I3" s="16" t="s">
        <v>24</v>
      </c>
      <c r="J3" s="16" t="s">
        <v>25</v>
      </c>
      <c r="K3" s="16">
        <f>EDATE(G3,12)</f>
        <v>43311</v>
      </c>
      <c r="L3" s="16">
        <f>EDATE(K3,12)</f>
        <v>43676</v>
      </c>
      <c r="M3" s="16">
        <f>EDATE(L3,12)</f>
        <v>44042</v>
      </c>
      <c r="N3" s="16"/>
      <c r="O3" s="16"/>
      <c r="P3" s="16"/>
    </row>
    <row r="4" spans="1:19" ht="13.5" thickTop="1" x14ac:dyDescent="0.2"/>
    <row r="5" spans="1:19" ht="15" x14ac:dyDescent="0.25">
      <c r="A5" s="112" t="s">
        <v>26</v>
      </c>
      <c r="B5" s="38"/>
      <c r="C5" s="38"/>
      <c r="D5" s="38"/>
      <c r="E5" s="39"/>
      <c r="F5" s="39"/>
      <c r="G5" s="39"/>
      <c r="H5" s="39"/>
      <c r="I5" s="39"/>
      <c r="J5" s="39"/>
      <c r="K5" s="39"/>
      <c r="L5" s="39"/>
      <c r="M5" s="39"/>
    </row>
    <row r="6" spans="1:19" x14ac:dyDescent="0.2">
      <c r="A6" s="28"/>
      <c r="B6" s="28" t="s">
        <v>12</v>
      </c>
      <c r="C6" s="28">
        <f>C27</f>
        <v>8052</v>
      </c>
      <c r="D6" s="28">
        <f>D27</f>
        <v>8268</v>
      </c>
      <c r="E6" s="28">
        <f>E27</f>
        <v>8082</v>
      </c>
      <c r="F6" s="28">
        <f>F27</f>
        <v>7961</v>
      </c>
      <c r="G6" s="28">
        <f>G27</f>
        <v>7890</v>
      </c>
      <c r="H6" s="40">
        <f>G6-I6+J6</f>
        <v>7858</v>
      </c>
      <c r="I6" s="28">
        <f>I27</f>
        <v>4373</v>
      </c>
      <c r="J6" s="28">
        <f>J27</f>
        <v>4341</v>
      </c>
      <c r="K6" s="41"/>
      <c r="L6" s="41"/>
      <c r="M6" s="41"/>
    </row>
    <row r="7" spans="1:19" x14ac:dyDescent="0.2">
      <c r="A7" s="28"/>
      <c r="B7" s="28" t="s">
        <v>9</v>
      </c>
      <c r="C7" s="28"/>
      <c r="D7" s="28"/>
      <c r="E7" s="28"/>
      <c r="F7" s="28">
        <f>F52</f>
        <v>1775</v>
      </c>
      <c r="G7" s="28">
        <f>G52</f>
        <v>1810</v>
      </c>
      <c r="H7" s="40">
        <f>G7-I7+J7</f>
        <v>1731</v>
      </c>
      <c r="I7" s="28">
        <f>I52</f>
        <v>1059</v>
      </c>
      <c r="J7" s="28">
        <f>J52</f>
        <v>980</v>
      </c>
      <c r="K7" s="42"/>
      <c r="L7" s="42"/>
      <c r="M7" s="42"/>
    </row>
    <row r="8" spans="1:19" x14ac:dyDescent="0.2">
      <c r="A8" s="28"/>
      <c r="B8" s="28" t="s">
        <v>10</v>
      </c>
      <c r="C8" s="28"/>
      <c r="D8" s="28"/>
      <c r="E8" s="28"/>
      <c r="F8" s="28">
        <f>F46</f>
        <v>1467</v>
      </c>
      <c r="G8" s="28">
        <f>G46</f>
        <v>1492</v>
      </c>
      <c r="H8" s="40">
        <f>G8-I8+J8</f>
        <v>1406</v>
      </c>
      <c r="I8" s="28">
        <f>I46</f>
        <v>905</v>
      </c>
      <c r="J8" s="28">
        <f>J46</f>
        <v>819</v>
      </c>
      <c r="K8" s="42"/>
      <c r="L8" s="42"/>
      <c r="M8" s="42"/>
    </row>
    <row r="9" spans="1:19" x14ac:dyDescent="0.2">
      <c r="A9" s="28"/>
      <c r="B9" s="28" t="s">
        <v>18</v>
      </c>
      <c r="C9" s="28"/>
      <c r="D9" s="28"/>
      <c r="E9" s="30"/>
      <c r="F9" s="30">
        <f>F82</f>
        <v>2.9389067524115755</v>
      </c>
      <c r="G9" s="30">
        <f>G82</f>
        <v>3.0358306188925082</v>
      </c>
      <c r="H9" s="43"/>
      <c r="I9" s="43"/>
      <c r="J9" s="43"/>
      <c r="K9" s="44"/>
      <c r="L9" s="44"/>
      <c r="M9" s="44"/>
    </row>
    <row r="10" spans="1:19" s="18" customFormat="1" x14ac:dyDescent="0.2">
      <c r="A10" s="35"/>
      <c r="B10" s="35"/>
      <c r="C10" s="35"/>
      <c r="D10" s="35"/>
      <c r="E10" s="35"/>
      <c r="F10" s="35"/>
      <c r="G10" s="35"/>
      <c r="N10" s="45" t="s">
        <v>13</v>
      </c>
      <c r="O10" s="45" t="s">
        <v>13</v>
      </c>
    </row>
    <row r="11" spans="1:19" s="18" customFormat="1" ht="15" x14ac:dyDescent="0.25">
      <c r="A11" s="113" t="s">
        <v>27</v>
      </c>
      <c r="B11" s="35"/>
      <c r="C11" s="35"/>
      <c r="D11" s="35"/>
      <c r="E11" s="35"/>
      <c r="F11" s="35"/>
      <c r="G11" s="28"/>
      <c r="H11" s="27"/>
      <c r="I11" s="27"/>
      <c r="J11" s="35"/>
      <c r="K11" s="35"/>
      <c r="N11" s="47" t="str">
        <f>TEXT(YEAR(C3),"0000")&amp;" - "&amp;TEXT(YEAR(G3),"0000")</f>
        <v>2013 - 2017</v>
      </c>
      <c r="O11" s="47" t="str">
        <f>TEXT(YEAR(G3),"0000")&amp;" - "&amp;TEXT(YEAR(M3),"0000")</f>
        <v>2017 - 2020</v>
      </c>
    </row>
    <row r="12" spans="1:19" s="18" customFormat="1" x14ac:dyDescent="0.2">
      <c r="A12" s="46"/>
      <c r="B12" s="35" t="s">
        <v>28</v>
      </c>
      <c r="C12" s="35"/>
      <c r="D12" s="48">
        <f>D28</f>
        <v>2.6825633383010361E-2</v>
      </c>
      <c r="E12" s="48">
        <f>E28</f>
        <v>-2.2496371552975347E-2</v>
      </c>
      <c r="F12" s="48">
        <f>F28</f>
        <v>-1.4971541697599622E-2</v>
      </c>
      <c r="G12" s="48">
        <f>G28</f>
        <v>-8.9184775781936398E-3</v>
      </c>
      <c r="H12" s="27"/>
      <c r="I12" s="27"/>
      <c r="J12" s="49"/>
      <c r="K12" s="48">
        <f>K6/G6-1</f>
        <v>-1</v>
      </c>
      <c r="L12" s="48" t="e">
        <f>L6/K6-1</f>
        <v>#DIV/0!</v>
      </c>
      <c r="M12" s="48" t="e">
        <f>M6/L6-1</f>
        <v>#DIV/0!</v>
      </c>
      <c r="N12" s="48">
        <f>(G6/C6)^(1/4)-1</f>
        <v>-5.0682063115182752E-3</v>
      </c>
      <c r="O12" s="48">
        <f>(M6/G6)^(1/3)-1</f>
        <v>-1</v>
      </c>
    </row>
    <row r="13" spans="1:19" s="18" customFormat="1" x14ac:dyDescent="0.2">
      <c r="A13" s="46"/>
      <c r="B13" s="35" t="str">
        <f>B32</f>
        <v>Gross margin</v>
      </c>
      <c r="C13" s="35"/>
      <c r="D13" s="48"/>
      <c r="E13" s="48"/>
      <c r="F13" s="48">
        <f>F32</f>
        <v>0.34920236151237283</v>
      </c>
      <c r="G13" s="48">
        <f>G32</f>
        <v>0.388212927756654</v>
      </c>
      <c r="H13" s="49"/>
      <c r="I13" s="48"/>
      <c r="J13" s="49"/>
      <c r="K13" s="49"/>
      <c r="L13" s="20"/>
      <c r="M13" s="20"/>
      <c r="N13" s="20"/>
      <c r="O13" s="20"/>
    </row>
    <row r="14" spans="1:19" x14ac:dyDescent="0.2">
      <c r="A14" s="28"/>
      <c r="B14" s="28" t="s">
        <v>29</v>
      </c>
      <c r="C14" s="28"/>
      <c r="D14" s="28"/>
      <c r="E14" s="28"/>
      <c r="F14" s="48">
        <f t="shared" ref="F14:M14" si="0">F7/F6</f>
        <v>0.22296193945484236</v>
      </c>
      <c r="G14" s="48">
        <f t="shared" si="0"/>
        <v>0.229404309252218</v>
      </c>
      <c r="H14" s="48">
        <f t="shared" si="0"/>
        <v>0.22028505981165691</v>
      </c>
      <c r="I14" s="48">
        <f t="shared" si="0"/>
        <v>0.24216784815915848</v>
      </c>
      <c r="J14" s="48">
        <f t="shared" si="0"/>
        <v>0.2257544344621055</v>
      </c>
      <c r="K14" s="48" t="e">
        <f t="shared" si="0"/>
        <v>#DIV/0!</v>
      </c>
      <c r="L14" s="48" t="e">
        <f t="shared" si="0"/>
        <v>#DIV/0!</v>
      </c>
      <c r="M14" s="48" t="e">
        <f t="shared" si="0"/>
        <v>#DIV/0!</v>
      </c>
    </row>
    <row r="15" spans="1:19" s="18" customFormat="1" x14ac:dyDescent="0.2">
      <c r="A15" s="46"/>
      <c r="B15" s="35" t="s">
        <v>30</v>
      </c>
      <c r="C15" s="35"/>
      <c r="D15" s="49"/>
      <c r="E15" s="49"/>
      <c r="F15" s="48">
        <f t="shared" ref="F15:M15" si="1">F8/F6</f>
        <v>0.1842733324959176</v>
      </c>
      <c r="G15" s="48">
        <f t="shared" si="1"/>
        <v>0.18910012674271229</v>
      </c>
      <c r="H15" s="48">
        <f t="shared" si="1"/>
        <v>0.178925935352507</v>
      </c>
      <c r="I15" s="48">
        <f t="shared" si="1"/>
        <v>0.20695174937114108</v>
      </c>
      <c r="J15" s="48">
        <f t="shared" si="1"/>
        <v>0.18866620594333103</v>
      </c>
      <c r="K15" s="48" t="e">
        <f t="shared" si="1"/>
        <v>#DIV/0!</v>
      </c>
      <c r="L15" s="48" t="e">
        <f t="shared" si="1"/>
        <v>#DIV/0!</v>
      </c>
      <c r="M15" s="48" t="e">
        <f t="shared" si="1"/>
        <v>#DIV/0!</v>
      </c>
      <c r="N15" s="20"/>
      <c r="O15" s="20"/>
    </row>
    <row r="16" spans="1:19" x14ac:dyDescent="0.2">
      <c r="A16" s="28"/>
      <c r="B16" s="28" t="s">
        <v>31</v>
      </c>
      <c r="C16" s="28"/>
      <c r="D16" s="28"/>
      <c r="E16" s="28"/>
      <c r="F16" s="48">
        <f>F100</f>
        <v>4.7230247456349704E-2</v>
      </c>
      <c r="G16" s="48">
        <f>G100</f>
        <v>4.2332065906210394E-2</v>
      </c>
      <c r="H16" s="28"/>
      <c r="I16" s="28"/>
      <c r="J16" s="28"/>
      <c r="L16" s="28"/>
      <c r="M16" s="28"/>
    </row>
    <row r="17" spans="1:17" x14ac:dyDescent="0.2">
      <c r="A17" s="28"/>
      <c r="B17" s="28" t="s">
        <v>32</v>
      </c>
      <c r="C17" s="28"/>
      <c r="D17" s="28"/>
      <c r="E17" s="28"/>
      <c r="F17" s="48">
        <f>F107</f>
        <v>0.30234895113679189</v>
      </c>
      <c r="G17" s="48">
        <f>G107</f>
        <v>0.31102661596958175</v>
      </c>
      <c r="H17" s="28"/>
      <c r="I17" s="28"/>
      <c r="J17" s="28"/>
      <c r="L17" s="28"/>
      <c r="M17" s="28"/>
    </row>
    <row r="18" spans="1:17" x14ac:dyDescent="0.2">
      <c r="A18" s="28"/>
      <c r="B18" s="28" t="s">
        <v>33</v>
      </c>
      <c r="C18" s="28"/>
      <c r="D18" s="28"/>
      <c r="E18" s="28"/>
      <c r="F18" s="28">
        <f>F109</f>
        <v>1.1840277777777777</v>
      </c>
      <c r="G18" s="28">
        <f>G109</f>
        <v>1.1304347826086956</v>
      </c>
      <c r="H18" s="28"/>
      <c r="I18" s="28"/>
      <c r="J18" s="28"/>
      <c r="L18" s="28"/>
      <c r="M18" s="28"/>
    </row>
    <row r="19" spans="1:17" x14ac:dyDescent="0.2">
      <c r="A19" s="28"/>
      <c r="B19" s="28" t="s">
        <v>34</v>
      </c>
      <c r="C19" s="28"/>
      <c r="D19" s="28"/>
      <c r="E19" s="28"/>
      <c r="F19" s="28">
        <f>F120</f>
        <v>1.9904225352112677</v>
      </c>
      <c r="G19" s="28">
        <f>G120</f>
        <v>1.9535911602209945</v>
      </c>
      <c r="H19" s="28"/>
      <c r="I19" s="28"/>
      <c r="J19" s="28"/>
      <c r="L19" s="28"/>
      <c r="M19" s="28"/>
    </row>
    <row r="20" spans="1:17" x14ac:dyDescent="0.2">
      <c r="A20" s="28"/>
      <c r="B20" s="28" t="s">
        <v>35</v>
      </c>
      <c r="C20" s="28"/>
      <c r="D20" s="28"/>
      <c r="E20" s="28"/>
      <c r="F20" s="28">
        <f>F121</f>
        <v>1.88</v>
      </c>
      <c r="G20" s="28">
        <f>G121</f>
        <v>1.8386740331491713</v>
      </c>
      <c r="H20" s="28"/>
      <c r="I20" s="28"/>
      <c r="J20" s="28"/>
      <c r="L20" s="28"/>
      <c r="M20" s="28"/>
    </row>
    <row r="21" spans="1:17" x14ac:dyDescent="0.2">
      <c r="A21" s="28"/>
      <c r="B21" s="28" t="s">
        <v>36</v>
      </c>
      <c r="C21" s="28"/>
      <c r="D21" s="28"/>
      <c r="E21" s="28"/>
      <c r="F21" s="28">
        <f>F124</f>
        <v>15.434782608695652</v>
      </c>
      <c r="G21" s="28">
        <f>G124</f>
        <v>16.160714285714285</v>
      </c>
      <c r="H21" s="28"/>
      <c r="I21" s="28"/>
      <c r="J21" s="28"/>
      <c r="L21" s="28"/>
      <c r="M21" s="28"/>
    </row>
    <row r="22" spans="1:17" x14ac:dyDescent="0.2">
      <c r="A22" s="28"/>
      <c r="B22" s="28" t="str">
        <f>B126</f>
        <v>Total debt / equity</v>
      </c>
      <c r="C22" s="28"/>
      <c r="D22" s="28"/>
      <c r="E22" s="28"/>
      <c r="F22" s="48">
        <f>F126</f>
        <v>2.3046314416177429</v>
      </c>
      <c r="G22" s="48">
        <f>G126</f>
        <v>2.1495440729483284</v>
      </c>
      <c r="H22" s="28"/>
      <c r="I22" s="28"/>
      <c r="J22" s="28"/>
      <c r="L22" s="28"/>
      <c r="M22" s="28"/>
    </row>
    <row r="23" spans="1:17" x14ac:dyDescent="0.2">
      <c r="A23" s="28"/>
      <c r="B23" s="28" t="s">
        <v>14</v>
      </c>
      <c r="C23" s="28"/>
      <c r="D23" s="28"/>
      <c r="E23" s="28"/>
      <c r="F23" s="48">
        <f>F135</f>
        <v>0.19975693109177847</v>
      </c>
      <c r="G23" s="48">
        <f>G135</f>
        <v>0.20581425855847407</v>
      </c>
      <c r="H23" s="28"/>
      <c r="I23" s="28"/>
      <c r="J23" s="28"/>
      <c r="L23" s="28"/>
      <c r="M23" s="28"/>
    </row>
    <row r="24" spans="1:17" x14ac:dyDescent="0.2">
      <c r="A24" s="28"/>
      <c r="B24" s="28" t="s">
        <v>15</v>
      </c>
      <c r="C24" s="28"/>
      <c r="D24" s="28"/>
      <c r="E24" s="28"/>
      <c r="F24" s="48">
        <f>F129</f>
        <v>0.59621656881930851</v>
      </c>
      <c r="G24" s="48">
        <f>G129</f>
        <v>0.56656534954407289</v>
      </c>
      <c r="H24" s="28"/>
      <c r="I24" s="50"/>
      <c r="J24" s="50"/>
      <c r="L24" s="28"/>
      <c r="M24" s="28"/>
    </row>
    <row r="25" spans="1:17" x14ac:dyDescent="0.2">
      <c r="A25" s="28"/>
      <c r="B25" s="28"/>
      <c r="C25" s="28"/>
      <c r="D25" s="28"/>
      <c r="E25" s="28"/>
      <c r="F25" s="28"/>
      <c r="G25" s="28"/>
      <c r="I25" s="28"/>
      <c r="J25" s="28"/>
      <c r="L25" s="28"/>
    </row>
    <row r="26" spans="1:17" ht="15" x14ac:dyDescent="0.25">
      <c r="A26" s="112" t="s">
        <v>37</v>
      </c>
      <c r="L26" s="28"/>
    </row>
    <row r="27" spans="1:17" x14ac:dyDescent="0.2">
      <c r="B27" s="27" t="s">
        <v>12</v>
      </c>
      <c r="C27" s="51">
        <v>8052</v>
      </c>
      <c r="D27" s="51">
        <v>8268</v>
      </c>
      <c r="E27" s="51">
        <v>8082</v>
      </c>
      <c r="F27" s="51">
        <v>7961</v>
      </c>
      <c r="G27" s="51">
        <v>7890</v>
      </c>
      <c r="I27" s="51">
        <v>4373</v>
      </c>
      <c r="J27" s="51">
        <v>4341</v>
      </c>
      <c r="K27" s="52"/>
    </row>
    <row r="28" spans="1:17" s="38" customFormat="1" x14ac:dyDescent="0.2">
      <c r="A28" s="27"/>
      <c r="B28" s="27" t="s">
        <v>38</v>
      </c>
      <c r="C28" s="114"/>
      <c r="D28" s="114">
        <f>D27/C27-1</f>
        <v>2.6825633383010361E-2</v>
      </c>
      <c r="E28" s="114">
        <f>E27/D27-1</f>
        <v>-2.2496371552975347E-2</v>
      </c>
      <c r="F28" s="114">
        <f>F27/E27-1</f>
        <v>-1.4971541697599622E-2</v>
      </c>
      <c r="G28" s="115">
        <f>G27/F27-1</f>
        <v>-8.9184775781936398E-3</v>
      </c>
      <c r="H28" s="20"/>
      <c r="I28" s="115"/>
      <c r="J28" s="114"/>
      <c r="K28" s="55"/>
      <c r="N28" s="27"/>
      <c r="O28" s="27"/>
      <c r="P28" s="27"/>
      <c r="Q28" s="27"/>
    </row>
    <row r="29" spans="1:17" x14ac:dyDescent="0.2">
      <c r="E29" s="20"/>
      <c r="F29" s="114"/>
      <c r="G29" s="115"/>
      <c r="H29" s="20"/>
      <c r="I29" s="115"/>
      <c r="J29" s="115"/>
      <c r="K29" s="57"/>
    </row>
    <row r="30" spans="1:17" x14ac:dyDescent="0.2">
      <c r="B30" s="27" t="s">
        <v>39</v>
      </c>
      <c r="D30" s="21"/>
      <c r="E30" s="20"/>
      <c r="F30" s="100">
        <v>5181</v>
      </c>
      <c r="G30" s="100">
        <f>4831-4</f>
        <v>4827</v>
      </c>
      <c r="H30" s="33"/>
      <c r="I30" s="51">
        <v>2711</v>
      </c>
      <c r="J30" s="51">
        <f>2792-6</f>
        <v>2786</v>
      </c>
      <c r="K30" s="59"/>
      <c r="L30" s="60"/>
    </row>
    <row r="31" spans="1:17" s="33" customFormat="1" x14ac:dyDescent="0.2">
      <c r="B31" s="33" t="s">
        <v>40</v>
      </c>
      <c r="E31" s="61"/>
      <c r="F31" s="33">
        <f>F27-F30</f>
        <v>2780</v>
      </c>
      <c r="G31" s="33">
        <f>G27-G30</f>
        <v>3063</v>
      </c>
      <c r="I31" s="33">
        <f>I27-I30</f>
        <v>1662</v>
      </c>
      <c r="J31" s="33">
        <f>J27-J30</f>
        <v>1555</v>
      </c>
      <c r="K31" s="62"/>
      <c r="L31" s="61"/>
    </row>
    <row r="32" spans="1:17" x14ac:dyDescent="0.2">
      <c r="B32" s="27" t="s">
        <v>41</v>
      </c>
      <c r="E32" s="20"/>
      <c r="F32" s="114">
        <f>F31/F27</f>
        <v>0.34920236151237283</v>
      </c>
      <c r="G32" s="114">
        <f>G31/G27</f>
        <v>0.388212927756654</v>
      </c>
      <c r="H32" s="20"/>
      <c r="I32" s="114">
        <f>I31/I27</f>
        <v>0.38005945575120054</v>
      </c>
      <c r="J32" s="114">
        <f>J31/J27</f>
        <v>0.35821239345772865</v>
      </c>
      <c r="K32" s="57"/>
    </row>
    <row r="33" spans="1:24" x14ac:dyDescent="0.2">
      <c r="E33" s="20"/>
      <c r="F33" s="114"/>
      <c r="G33" s="115"/>
      <c r="H33" s="20"/>
      <c r="I33" s="115"/>
      <c r="J33" s="115"/>
      <c r="K33" s="57"/>
    </row>
    <row r="34" spans="1:24" x14ac:dyDescent="0.2">
      <c r="B34" s="27" t="s">
        <v>42</v>
      </c>
      <c r="C34" s="33"/>
      <c r="D34" s="33"/>
      <c r="E34" s="20"/>
      <c r="F34" s="51">
        <v>960</v>
      </c>
      <c r="G34" s="51">
        <v>1400</v>
      </c>
      <c r="H34" s="20"/>
      <c r="I34" s="51">
        <v>662</v>
      </c>
      <c r="J34" s="51">
        <v>655</v>
      </c>
      <c r="K34" s="52"/>
    </row>
    <row r="35" spans="1:24" s="38" customFormat="1" x14ac:dyDescent="0.2">
      <c r="A35" s="27"/>
      <c r="B35" s="27" t="s">
        <v>43</v>
      </c>
      <c r="C35" s="27"/>
      <c r="D35" s="27"/>
      <c r="E35" s="20"/>
      <c r="F35" s="114">
        <f>F34/F27</f>
        <v>0.12058786584599925</v>
      </c>
      <c r="G35" s="115">
        <f>G34/G27</f>
        <v>0.17743979721166034</v>
      </c>
      <c r="H35" s="20"/>
      <c r="I35" s="115">
        <f>I34/I27</f>
        <v>0.15138348959524353</v>
      </c>
      <c r="J35" s="115">
        <f>J34/J27</f>
        <v>0.15088689242110112</v>
      </c>
      <c r="K35" s="55"/>
    </row>
    <row r="36" spans="1:24" x14ac:dyDescent="0.2">
      <c r="B36" s="36" t="s">
        <v>44</v>
      </c>
      <c r="C36" s="36"/>
      <c r="D36" s="63"/>
      <c r="E36" s="20"/>
      <c r="F36" s="51">
        <v>313</v>
      </c>
      <c r="G36" s="51">
        <v>-178</v>
      </c>
      <c r="H36" s="20"/>
      <c r="I36" s="51">
        <v>20</v>
      </c>
      <c r="J36" s="51">
        <v>-14</v>
      </c>
      <c r="K36" s="64"/>
      <c r="L36" s="60"/>
    </row>
    <row r="37" spans="1:24" x14ac:dyDescent="0.2">
      <c r="B37" s="36" t="s">
        <v>45</v>
      </c>
      <c r="C37" s="36"/>
      <c r="D37" s="63"/>
      <c r="E37" s="20"/>
      <c r="F37" s="51">
        <f>35+47-4</f>
        <v>78</v>
      </c>
      <c r="G37" s="51">
        <f>18+36+4</f>
        <v>58</v>
      </c>
      <c r="H37" s="20"/>
      <c r="I37" s="51">
        <v>11</v>
      </c>
      <c r="J37" s="51">
        <f>35+38+6</f>
        <v>79</v>
      </c>
      <c r="K37" s="59"/>
    </row>
    <row r="38" spans="1:24" x14ac:dyDescent="0.2">
      <c r="B38" s="36" t="s">
        <v>46</v>
      </c>
      <c r="C38" s="36"/>
      <c r="D38" s="63"/>
      <c r="E38" s="20"/>
      <c r="F38" s="51">
        <v>141</v>
      </c>
      <c r="G38" s="51">
        <f>147+65</f>
        <v>212</v>
      </c>
      <c r="H38" s="20"/>
      <c r="I38" s="51">
        <f>147+65</f>
        <v>212</v>
      </c>
      <c r="J38" s="51">
        <v>75</v>
      </c>
      <c r="K38" s="59"/>
    </row>
    <row r="39" spans="1:24" x14ac:dyDescent="0.2">
      <c r="B39" s="36" t="s">
        <v>47</v>
      </c>
      <c r="C39" s="36"/>
      <c r="D39" s="63"/>
      <c r="E39" s="20"/>
      <c r="F39" s="51">
        <v>-25</v>
      </c>
      <c r="G39" s="51">
        <v>0</v>
      </c>
      <c r="H39" s="20"/>
      <c r="I39" s="51">
        <v>0</v>
      </c>
      <c r="J39" s="51">
        <v>0</v>
      </c>
      <c r="K39" s="64"/>
      <c r="L39" s="60"/>
    </row>
    <row r="40" spans="1:24" x14ac:dyDescent="0.2">
      <c r="B40" s="36" t="s">
        <v>48</v>
      </c>
      <c r="C40" s="36"/>
      <c r="D40" s="63"/>
      <c r="E40" s="20"/>
      <c r="F40" s="51">
        <v>0</v>
      </c>
      <c r="G40" s="51">
        <v>0</v>
      </c>
      <c r="H40" s="20"/>
      <c r="I40" s="51">
        <v>0</v>
      </c>
      <c r="J40" s="51">
        <v>24</v>
      </c>
      <c r="K40" s="64"/>
      <c r="L40" s="18"/>
    </row>
    <row r="41" spans="1:24" x14ac:dyDescent="0.2">
      <c r="B41" s="36" t="s">
        <v>49</v>
      </c>
      <c r="C41" s="65"/>
      <c r="D41" s="66"/>
      <c r="E41" s="20"/>
      <c r="F41" s="51">
        <v>0</v>
      </c>
      <c r="G41" s="51">
        <v>0</v>
      </c>
      <c r="H41" s="20"/>
      <c r="I41" s="51">
        <v>0</v>
      </c>
      <c r="J41" s="51">
        <v>0</v>
      </c>
      <c r="K41" s="64"/>
      <c r="L41" s="18"/>
    </row>
    <row r="42" spans="1:24" x14ac:dyDescent="0.2">
      <c r="B42" s="36" t="s">
        <v>50</v>
      </c>
      <c r="F42" s="51">
        <v>0</v>
      </c>
      <c r="G42" s="51">
        <v>0</v>
      </c>
      <c r="H42" s="20"/>
      <c r="I42" s="51">
        <v>0</v>
      </c>
      <c r="J42" s="51">
        <v>0</v>
      </c>
      <c r="K42" s="64"/>
      <c r="L42" s="18"/>
    </row>
    <row r="43" spans="1:24" x14ac:dyDescent="0.2">
      <c r="B43" s="36" t="s">
        <v>51</v>
      </c>
      <c r="C43" s="36"/>
      <c r="D43" s="36"/>
      <c r="E43" s="20"/>
      <c r="F43" s="51">
        <v>0</v>
      </c>
      <c r="G43" s="51">
        <v>0</v>
      </c>
      <c r="H43" s="20"/>
      <c r="I43" s="51">
        <v>0</v>
      </c>
      <c r="J43" s="51">
        <v>0</v>
      </c>
      <c r="K43" s="64"/>
      <c r="L43" s="18"/>
    </row>
    <row r="44" spans="1:24" x14ac:dyDescent="0.2">
      <c r="B44" s="36" t="s">
        <v>52</v>
      </c>
      <c r="C44" s="36"/>
      <c r="D44" s="36"/>
      <c r="E44" s="20"/>
      <c r="F44" s="51">
        <v>0</v>
      </c>
      <c r="G44" s="51">
        <v>0</v>
      </c>
      <c r="H44" s="20"/>
      <c r="I44" s="51">
        <v>0</v>
      </c>
      <c r="J44" s="51">
        <v>0</v>
      </c>
      <c r="K44" s="64"/>
      <c r="L44" s="18"/>
    </row>
    <row r="45" spans="1:24" x14ac:dyDescent="0.2">
      <c r="B45" s="36" t="s">
        <v>53</v>
      </c>
      <c r="C45" s="36"/>
      <c r="D45" s="36"/>
      <c r="E45" s="20"/>
      <c r="F45" s="51">
        <v>0</v>
      </c>
      <c r="G45" s="51">
        <v>0</v>
      </c>
      <c r="H45" s="20"/>
      <c r="I45" s="51">
        <v>0</v>
      </c>
      <c r="J45" s="51">
        <v>0</v>
      </c>
      <c r="K45" s="67"/>
      <c r="L45" s="18"/>
    </row>
    <row r="46" spans="1:24" s="33" customFormat="1" x14ac:dyDescent="0.2">
      <c r="B46" s="33" t="s">
        <v>10</v>
      </c>
      <c r="E46" s="61"/>
      <c r="F46" s="33">
        <f>F34+SUM(F36:F45)</f>
        <v>1467</v>
      </c>
      <c r="G46" s="33">
        <f>G34+SUM(G36:G45)</f>
        <v>1492</v>
      </c>
      <c r="H46" s="61"/>
      <c r="I46" s="33">
        <f t="shared" ref="I46:J46" si="2">I34+SUM(I36:I45)</f>
        <v>905</v>
      </c>
      <c r="J46" s="33">
        <f t="shared" si="2"/>
        <v>819</v>
      </c>
      <c r="K46" s="37"/>
      <c r="L46" s="61"/>
    </row>
    <row r="47" spans="1:24" s="38" customFormat="1" x14ac:dyDescent="0.2">
      <c r="A47" s="27"/>
      <c r="B47" s="27" t="s">
        <v>30</v>
      </c>
      <c r="C47" s="27"/>
      <c r="D47" s="27"/>
      <c r="E47" s="20"/>
      <c r="F47" s="114">
        <f>F46/F27</f>
        <v>0.1842733324959176</v>
      </c>
      <c r="G47" s="115">
        <f>G46/G27</f>
        <v>0.18910012674271229</v>
      </c>
      <c r="H47" s="20"/>
      <c r="I47" s="115">
        <f>I46/I27</f>
        <v>0.20695174937114108</v>
      </c>
      <c r="J47" s="115">
        <f>J46/J27</f>
        <v>0.18866620594333103</v>
      </c>
      <c r="K47" s="55"/>
      <c r="L47" s="18"/>
      <c r="N47" s="27"/>
      <c r="O47" s="27"/>
      <c r="P47" s="27"/>
      <c r="Q47" s="27"/>
    </row>
    <row r="48" spans="1:24" x14ac:dyDescent="0.2">
      <c r="E48" s="20"/>
      <c r="H48" s="20"/>
      <c r="I48" s="115"/>
      <c r="J48" s="115"/>
      <c r="K48" s="57"/>
      <c r="L48" s="18"/>
      <c r="R48" s="18"/>
      <c r="S48" s="18"/>
      <c r="T48" s="18"/>
      <c r="U48" s="18"/>
      <c r="V48" s="18"/>
      <c r="W48" s="18"/>
      <c r="X48" s="18"/>
    </row>
    <row r="49" spans="1:24" x14ac:dyDescent="0.2">
      <c r="B49" s="27" t="s">
        <v>54</v>
      </c>
      <c r="C49" s="68"/>
      <c r="D49" s="32"/>
      <c r="E49" s="20"/>
      <c r="F49" s="41">
        <v>288</v>
      </c>
      <c r="G49" s="41">
        <v>299</v>
      </c>
      <c r="H49" s="20"/>
      <c r="I49" s="51">
        <f>154-I50</f>
        <v>144</v>
      </c>
      <c r="J49" s="51">
        <f>161-J50</f>
        <v>153</v>
      </c>
      <c r="K49" s="52"/>
      <c r="L49" s="18"/>
      <c r="R49" s="18"/>
      <c r="S49" s="18"/>
      <c r="T49" s="18"/>
      <c r="U49" s="18"/>
      <c r="V49" s="18"/>
      <c r="W49" s="18"/>
      <c r="X49" s="18"/>
    </row>
    <row r="50" spans="1:24" x14ac:dyDescent="0.2">
      <c r="B50" s="27" t="s">
        <v>55</v>
      </c>
      <c r="C50" s="68"/>
      <c r="D50" s="32"/>
      <c r="E50" s="20"/>
      <c r="F50" s="51">
        <v>20</v>
      </c>
      <c r="G50" s="51">
        <v>19</v>
      </c>
      <c r="H50" s="20"/>
      <c r="I50" s="51">
        <v>10</v>
      </c>
      <c r="J50" s="51">
        <v>8</v>
      </c>
      <c r="K50" s="52"/>
      <c r="L50" s="18"/>
      <c r="R50" s="18"/>
      <c r="S50" s="18"/>
      <c r="T50" s="18"/>
      <c r="U50" s="18"/>
      <c r="V50" s="18"/>
      <c r="W50" s="18"/>
      <c r="X50" s="18"/>
    </row>
    <row r="51" spans="1:24" x14ac:dyDescent="0.2">
      <c r="B51" s="28" t="s">
        <v>56</v>
      </c>
      <c r="C51" s="28"/>
      <c r="D51" s="28"/>
      <c r="E51" s="20"/>
      <c r="F51" s="40">
        <f>SUM(F49:F50)</f>
        <v>308</v>
      </c>
      <c r="G51" s="40">
        <f>SUM(G49:G50)</f>
        <v>318</v>
      </c>
      <c r="H51" s="61"/>
      <c r="I51" s="40">
        <f>SUM(I49:I50)</f>
        <v>154</v>
      </c>
      <c r="J51" s="40">
        <f>SUM(J49:J50)</f>
        <v>161</v>
      </c>
      <c r="K51" s="40"/>
      <c r="L51" s="18"/>
      <c r="R51" s="18"/>
      <c r="S51" s="18"/>
      <c r="T51" s="18"/>
      <c r="U51" s="18"/>
      <c r="V51" s="18"/>
      <c r="W51" s="18"/>
      <c r="X51" s="18"/>
    </row>
    <row r="52" spans="1:24" s="33" customFormat="1" x14ac:dyDescent="0.2">
      <c r="B52" s="33" t="s">
        <v>9</v>
      </c>
      <c r="D52" s="61"/>
      <c r="E52" s="61"/>
      <c r="F52" s="33">
        <f>F46+F51</f>
        <v>1775</v>
      </c>
      <c r="G52" s="33">
        <f>G46+G51</f>
        <v>1810</v>
      </c>
      <c r="I52" s="33">
        <f>I46+I51</f>
        <v>1059</v>
      </c>
      <c r="J52" s="33">
        <f>J46+J51</f>
        <v>980</v>
      </c>
      <c r="K52" s="37"/>
      <c r="L52" s="61"/>
      <c r="R52" s="61"/>
      <c r="S52" s="61"/>
      <c r="T52" s="61"/>
      <c r="U52" s="61"/>
      <c r="V52" s="61"/>
      <c r="W52" s="61"/>
      <c r="X52" s="61"/>
    </row>
    <row r="53" spans="1:24" s="38" customFormat="1" x14ac:dyDescent="0.2">
      <c r="A53" s="27"/>
      <c r="B53" s="27" t="s">
        <v>29</v>
      </c>
      <c r="C53" s="27"/>
      <c r="D53" s="20"/>
      <c r="E53" s="20"/>
      <c r="F53" s="114">
        <f>F52/F27</f>
        <v>0.22296193945484236</v>
      </c>
      <c r="G53" s="115">
        <f>G52/G27</f>
        <v>0.229404309252218</v>
      </c>
      <c r="H53" s="20"/>
      <c r="I53" s="115">
        <f>I52/I27</f>
        <v>0.24216784815915848</v>
      </c>
      <c r="J53" s="115">
        <f>J52/J27</f>
        <v>0.2257544344621055</v>
      </c>
      <c r="K53" s="55"/>
      <c r="L53" s="18"/>
      <c r="N53" s="27"/>
      <c r="O53" s="27"/>
      <c r="P53" s="27"/>
      <c r="Q53" s="27"/>
      <c r="R53" s="18"/>
      <c r="S53" s="18"/>
      <c r="T53" s="18"/>
      <c r="U53" s="18"/>
      <c r="V53" s="18"/>
      <c r="W53" s="18"/>
      <c r="X53" s="18"/>
    </row>
    <row r="54" spans="1:24" x14ac:dyDescent="0.2">
      <c r="E54" s="20"/>
      <c r="F54" s="114"/>
      <c r="G54" s="115"/>
      <c r="H54" s="20"/>
      <c r="I54" s="20"/>
      <c r="J54" s="20"/>
      <c r="K54" s="57"/>
      <c r="L54" s="18"/>
      <c r="R54" s="18"/>
      <c r="S54" s="18"/>
      <c r="T54" s="18"/>
      <c r="U54" s="18"/>
      <c r="V54" s="18"/>
      <c r="W54" s="18"/>
      <c r="X54" s="18"/>
    </row>
    <row r="55" spans="1:24" x14ac:dyDescent="0.2">
      <c r="B55" s="27" t="s">
        <v>57</v>
      </c>
      <c r="E55" s="20"/>
      <c r="F55" s="51">
        <v>849</v>
      </c>
      <c r="G55" s="51">
        <v>1293</v>
      </c>
      <c r="H55" s="20"/>
      <c r="I55" s="20"/>
      <c r="J55" s="20"/>
      <c r="K55" s="52"/>
      <c r="L55" s="18"/>
      <c r="R55" s="18"/>
      <c r="S55" s="18"/>
      <c r="T55" s="18"/>
      <c r="U55" s="18"/>
      <c r="V55" s="18"/>
      <c r="W55" s="18"/>
      <c r="X55" s="18"/>
    </row>
    <row r="56" spans="1:24" x14ac:dyDescent="0.2">
      <c r="B56" s="27" t="s">
        <v>58</v>
      </c>
      <c r="E56" s="20"/>
      <c r="F56" s="51">
        <v>286</v>
      </c>
      <c r="G56" s="51">
        <v>406</v>
      </c>
      <c r="H56" s="20"/>
      <c r="I56" s="20"/>
      <c r="J56" s="20"/>
      <c r="K56" s="52"/>
      <c r="L56" s="18"/>
      <c r="R56" s="18"/>
      <c r="S56" s="18"/>
      <c r="T56" s="18"/>
      <c r="U56" s="18"/>
      <c r="V56" s="18"/>
      <c r="W56" s="18"/>
      <c r="X56" s="18"/>
    </row>
    <row r="57" spans="1:24" s="38" customFormat="1" x14ac:dyDescent="0.2">
      <c r="A57" s="27"/>
      <c r="B57" s="27" t="s">
        <v>59</v>
      </c>
      <c r="C57" s="27"/>
      <c r="D57" s="27"/>
      <c r="E57" s="20"/>
      <c r="F57" s="114">
        <f>F56/F55</f>
        <v>0.33686690223792698</v>
      </c>
      <c r="G57" s="115">
        <f>G56/G55</f>
        <v>0.31399845320959008</v>
      </c>
      <c r="H57" s="20"/>
      <c r="I57" s="20"/>
      <c r="J57" s="20"/>
      <c r="K57" s="55"/>
      <c r="L57" s="20"/>
      <c r="N57" s="27"/>
      <c r="O57" s="27"/>
      <c r="P57" s="27"/>
      <c r="Q57" s="27"/>
      <c r="R57" s="20"/>
      <c r="S57" s="20"/>
      <c r="T57" s="20"/>
      <c r="U57" s="20"/>
      <c r="V57" s="20"/>
      <c r="W57" s="20"/>
      <c r="X57" s="20"/>
    </row>
    <row r="58" spans="1:24" x14ac:dyDescent="0.2">
      <c r="B58" s="27" t="s">
        <v>60</v>
      </c>
      <c r="D58" s="32"/>
      <c r="E58" s="20"/>
      <c r="F58" s="69">
        <v>0.35</v>
      </c>
      <c r="G58" s="69">
        <v>0.35</v>
      </c>
      <c r="H58" s="20"/>
      <c r="I58" s="20"/>
      <c r="J58" s="20"/>
      <c r="K58" s="70"/>
      <c r="L58" s="18"/>
      <c r="R58" s="18"/>
      <c r="S58" s="18"/>
      <c r="T58" s="18"/>
      <c r="U58" s="18"/>
      <c r="V58" s="18"/>
      <c r="W58" s="18"/>
      <c r="X58" s="18"/>
    </row>
    <row r="59" spans="1:24" x14ac:dyDescent="0.2">
      <c r="B59" s="27" t="s">
        <v>61</v>
      </c>
      <c r="D59" s="32"/>
      <c r="E59" s="20"/>
      <c r="F59" s="69">
        <v>2.7E-2</v>
      </c>
      <c r="G59" s="69">
        <v>2.1000000000000001E-2</v>
      </c>
      <c r="H59" s="20"/>
      <c r="I59" s="20"/>
      <c r="J59" s="20"/>
      <c r="K59" s="70"/>
      <c r="L59" s="18"/>
      <c r="R59" s="18"/>
      <c r="S59" s="18"/>
      <c r="T59" s="18"/>
      <c r="U59" s="18"/>
      <c r="V59" s="18"/>
      <c r="W59" s="18"/>
      <c r="X59" s="18"/>
    </row>
    <row r="60" spans="1:24" s="71" customFormat="1" x14ac:dyDescent="0.2">
      <c r="A60" s="33"/>
      <c r="B60" s="33" t="s">
        <v>62</v>
      </c>
      <c r="C60" s="33"/>
      <c r="D60" s="33"/>
      <c r="E60" s="61"/>
      <c r="F60" s="117">
        <f>SUM(F58:F59)</f>
        <v>0.377</v>
      </c>
      <c r="G60" s="116">
        <f>SUM(G58:G59)</f>
        <v>0.371</v>
      </c>
      <c r="H60" s="61"/>
      <c r="I60" s="61"/>
      <c r="J60" s="61"/>
      <c r="K60" s="72"/>
      <c r="L60" s="61"/>
      <c r="N60" s="33"/>
      <c r="O60" s="33"/>
      <c r="P60" s="33"/>
      <c r="Q60" s="33"/>
      <c r="R60" s="61"/>
      <c r="S60" s="61"/>
      <c r="T60" s="61"/>
      <c r="U60" s="61"/>
      <c r="V60" s="61"/>
      <c r="W60" s="61"/>
      <c r="X60" s="61"/>
    </row>
    <row r="61" spans="1:24" x14ac:dyDescent="0.2">
      <c r="E61" s="20"/>
      <c r="F61" s="114"/>
      <c r="G61" s="118"/>
      <c r="H61" s="20"/>
      <c r="I61" s="20"/>
      <c r="J61" s="20"/>
      <c r="K61" s="74"/>
      <c r="L61" s="18"/>
      <c r="R61" s="18"/>
      <c r="S61" s="18"/>
      <c r="T61" s="18"/>
      <c r="U61" s="18"/>
      <c r="V61" s="18"/>
      <c r="W61" s="18"/>
      <c r="X61" s="18"/>
    </row>
    <row r="62" spans="1:24" x14ac:dyDescent="0.2">
      <c r="B62" s="27" t="s">
        <v>63</v>
      </c>
      <c r="E62" s="20"/>
      <c r="F62" s="40">
        <f>F46*(1-F57)</f>
        <v>972.81625441696121</v>
      </c>
      <c r="G62" s="40">
        <f>G46*(1-G57)</f>
        <v>1023.5143078112916</v>
      </c>
      <c r="H62" s="20"/>
      <c r="I62" s="20"/>
      <c r="J62" s="20"/>
      <c r="K62" s="74"/>
      <c r="L62" s="20"/>
      <c r="R62" s="20"/>
      <c r="S62" s="20"/>
      <c r="T62" s="20"/>
      <c r="U62" s="20"/>
      <c r="V62" s="20"/>
      <c r="W62" s="20"/>
      <c r="X62" s="20"/>
    </row>
    <row r="63" spans="1:24" x14ac:dyDescent="0.2">
      <c r="E63" s="20"/>
      <c r="F63" s="114"/>
      <c r="G63" s="118"/>
      <c r="H63" s="20"/>
      <c r="I63" s="20"/>
      <c r="J63" s="20"/>
      <c r="K63" s="74"/>
      <c r="L63" s="18"/>
      <c r="R63" s="18"/>
      <c r="S63" s="18"/>
      <c r="T63" s="18"/>
      <c r="U63" s="18"/>
      <c r="V63" s="18"/>
      <c r="W63" s="18"/>
      <c r="X63" s="18"/>
    </row>
    <row r="64" spans="1:24" x14ac:dyDescent="0.2">
      <c r="B64" s="27" t="s">
        <v>64</v>
      </c>
      <c r="C64" s="33"/>
      <c r="D64" s="33"/>
      <c r="E64" s="20"/>
      <c r="F64" s="51">
        <v>563</v>
      </c>
      <c r="G64" s="51">
        <v>887</v>
      </c>
      <c r="H64" s="20"/>
      <c r="I64" s="20"/>
      <c r="J64" s="20"/>
      <c r="K64" s="59"/>
      <c r="L64" s="18"/>
      <c r="R64" s="18"/>
      <c r="S64" s="18"/>
      <c r="T64" s="18"/>
      <c r="U64" s="18"/>
      <c r="V64" s="18"/>
      <c r="W64" s="18"/>
      <c r="X64" s="18"/>
    </row>
    <row r="65" spans="1:24" s="38" customFormat="1" x14ac:dyDescent="0.2">
      <c r="A65" s="27"/>
      <c r="B65" s="27" t="s">
        <v>65</v>
      </c>
      <c r="C65" s="27"/>
      <c r="D65" s="27"/>
      <c r="E65" s="20"/>
      <c r="F65" s="114">
        <f>F64/F27</f>
        <v>7.0719758824268314E-2</v>
      </c>
      <c r="G65" s="115">
        <f>G64/G27</f>
        <v>0.11242078580481622</v>
      </c>
      <c r="H65" s="20"/>
      <c r="I65" s="20"/>
      <c r="J65" s="20"/>
      <c r="K65" s="55"/>
      <c r="L65" s="18"/>
      <c r="N65" s="27"/>
      <c r="O65" s="27"/>
      <c r="P65" s="27"/>
      <c r="Q65" s="27"/>
      <c r="R65" s="18"/>
      <c r="S65" s="18"/>
      <c r="T65" s="18"/>
      <c r="U65" s="18"/>
      <c r="V65" s="18"/>
      <c r="W65" s="18"/>
      <c r="X65" s="18"/>
    </row>
    <row r="66" spans="1:24" x14ac:dyDescent="0.2">
      <c r="B66" s="27" t="str">
        <f>B36</f>
        <v>Employee benefit plans remeasurement (gain) loss</v>
      </c>
      <c r="C66" s="36"/>
      <c r="D66" s="63"/>
      <c r="E66" s="20"/>
      <c r="F66" s="51">
        <v>200</v>
      </c>
      <c r="G66" s="51">
        <v>-116</v>
      </c>
      <c r="I66" s="28"/>
      <c r="J66" s="20"/>
      <c r="K66" s="18"/>
      <c r="L66" s="18"/>
      <c r="M66" s="18"/>
      <c r="N66" s="18"/>
      <c r="O66" s="18"/>
    </row>
    <row r="67" spans="1:24" x14ac:dyDescent="0.2">
      <c r="B67" s="27" t="str">
        <f t="shared" ref="B67:B69" si="3">B37</f>
        <v>Restructuring charges</v>
      </c>
      <c r="C67" s="36"/>
      <c r="D67" s="63"/>
      <c r="E67" s="20"/>
      <c r="F67" s="51">
        <v>49</v>
      </c>
      <c r="G67" s="51">
        <v>37</v>
      </c>
      <c r="H67" s="22"/>
      <c r="I67" s="20"/>
      <c r="J67" s="20"/>
      <c r="K67" s="18"/>
      <c r="L67" s="18"/>
      <c r="M67" s="18"/>
      <c r="N67" s="18"/>
      <c r="O67" s="18"/>
      <c r="R67" s="18"/>
      <c r="S67" s="18"/>
      <c r="T67" s="18"/>
      <c r="U67" s="18"/>
      <c r="V67" s="18"/>
      <c r="W67" s="18"/>
      <c r="X67" s="18"/>
    </row>
    <row r="68" spans="1:24" x14ac:dyDescent="0.2">
      <c r="B68" s="27" t="str">
        <f t="shared" si="3"/>
        <v>Impairments of intangibles</v>
      </c>
      <c r="C68" s="36"/>
      <c r="D68" s="63"/>
      <c r="E68" s="20"/>
      <c r="F68" s="51">
        <v>127</v>
      </c>
      <c r="G68" s="51">
        <f>139+41</f>
        <v>180</v>
      </c>
      <c r="I68" s="28"/>
      <c r="J68" s="20"/>
      <c r="K68" s="18"/>
      <c r="L68" s="18"/>
      <c r="M68" s="18"/>
      <c r="N68" s="18"/>
      <c r="O68" s="18"/>
    </row>
    <row r="69" spans="1:24" x14ac:dyDescent="0.2">
      <c r="B69" s="27" t="str">
        <f t="shared" si="3"/>
        <v>Gain on settlement of claim on Kelsen acquisition</v>
      </c>
      <c r="C69" s="36"/>
      <c r="D69" s="63"/>
      <c r="E69" s="20"/>
      <c r="F69" s="51">
        <f>F39</f>
        <v>-25</v>
      </c>
      <c r="G69" s="51">
        <v>0</v>
      </c>
      <c r="I69" s="28"/>
      <c r="J69" s="20"/>
      <c r="K69" s="18"/>
      <c r="L69" s="18"/>
      <c r="M69" s="18"/>
      <c r="N69" s="18"/>
      <c r="O69" s="18"/>
    </row>
    <row r="70" spans="1:24" x14ac:dyDescent="0.2">
      <c r="B70" s="36" t="s">
        <v>66</v>
      </c>
      <c r="C70" s="36"/>
      <c r="D70" s="63"/>
      <c r="E70" s="20"/>
      <c r="F70" s="51">
        <v>0</v>
      </c>
      <c r="G70" s="51">
        <v>-56</v>
      </c>
      <c r="I70" s="28"/>
      <c r="J70" s="20"/>
      <c r="K70" s="18"/>
      <c r="L70" s="18"/>
      <c r="M70" s="18"/>
      <c r="N70" s="18"/>
      <c r="O70" s="18"/>
    </row>
    <row r="71" spans="1:24" x14ac:dyDescent="0.2">
      <c r="B71" s="36" t="s">
        <v>49</v>
      </c>
      <c r="C71" s="36"/>
      <c r="D71" s="63"/>
      <c r="E71" s="20"/>
      <c r="F71" s="51">
        <v>0</v>
      </c>
      <c r="G71" s="51">
        <v>0</v>
      </c>
      <c r="I71" s="28"/>
      <c r="J71" s="20"/>
      <c r="K71" s="18"/>
      <c r="L71" s="18"/>
      <c r="M71" s="18"/>
      <c r="N71" s="18"/>
      <c r="O71" s="18"/>
    </row>
    <row r="72" spans="1:24" x14ac:dyDescent="0.2">
      <c r="B72" s="36" t="s">
        <v>50</v>
      </c>
      <c r="C72" s="36"/>
      <c r="D72" s="63"/>
      <c r="E72" s="20"/>
      <c r="F72" s="51">
        <v>0</v>
      </c>
      <c r="G72" s="51">
        <v>0</v>
      </c>
      <c r="H72" s="32"/>
      <c r="I72" s="28"/>
      <c r="J72" s="20"/>
      <c r="K72" s="18"/>
      <c r="L72" s="18"/>
      <c r="M72" s="18"/>
      <c r="N72" s="18"/>
      <c r="O72" s="18"/>
    </row>
    <row r="73" spans="1:24" x14ac:dyDescent="0.2">
      <c r="B73" s="36" t="s">
        <v>51</v>
      </c>
      <c r="C73" s="36"/>
      <c r="D73" s="36"/>
      <c r="E73" s="20"/>
      <c r="F73" s="51">
        <v>0</v>
      </c>
      <c r="G73" s="51">
        <v>0</v>
      </c>
      <c r="I73" s="28"/>
      <c r="J73" s="20"/>
      <c r="K73" s="18"/>
      <c r="L73" s="18"/>
      <c r="M73" s="18"/>
      <c r="N73" s="18"/>
      <c r="O73" s="18"/>
    </row>
    <row r="74" spans="1:24" x14ac:dyDescent="0.2">
      <c r="B74" s="36" t="s">
        <v>52</v>
      </c>
      <c r="C74" s="36"/>
      <c r="D74" s="36"/>
      <c r="E74" s="20"/>
      <c r="F74" s="51">
        <v>0</v>
      </c>
      <c r="G74" s="51">
        <v>0</v>
      </c>
      <c r="I74" s="28"/>
      <c r="J74" s="20"/>
      <c r="K74" s="18"/>
      <c r="L74" s="18"/>
      <c r="M74" s="18"/>
      <c r="N74" s="18"/>
      <c r="O74" s="18"/>
    </row>
    <row r="75" spans="1:24" x14ac:dyDescent="0.2">
      <c r="B75" s="36" t="s">
        <v>53</v>
      </c>
      <c r="C75" s="36"/>
      <c r="D75" s="36"/>
      <c r="E75" s="20"/>
      <c r="F75" s="51">
        <v>0</v>
      </c>
      <c r="G75" s="51">
        <v>0</v>
      </c>
      <c r="I75" s="28"/>
      <c r="J75" s="20"/>
      <c r="K75" s="18"/>
      <c r="L75" s="18"/>
      <c r="M75" s="18"/>
      <c r="N75" s="18"/>
      <c r="O75" s="18"/>
    </row>
    <row r="76" spans="1:24" s="33" customFormat="1" x14ac:dyDescent="0.2">
      <c r="B76" s="33" t="s">
        <v>67</v>
      </c>
      <c r="E76" s="61"/>
      <c r="F76" s="33">
        <f>F64+SUM(F66:F75)</f>
        <v>914</v>
      </c>
      <c r="G76" s="33">
        <f>G64+SUM(G66:G75)</f>
        <v>932</v>
      </c>
      <c r="I76" s="37"/>
      <c r="K76" s="37"/>
      <c r="L76" s="61"/>
      <c r="M76" s="37"/>
    </row>
    <row r="77" spans="1:24" s="38" customFormat="1" x14ac:dyDescent="0.2">
      <c r="A77" s="27"/>
      <c r="B77" s="27" t="s">
        <v>68</v>
      </c>
      <c r="C77" s="27"/>
      <c r="D77" s="27"/>
      <c r="E77" s="20"/>
      <c r="F77" s="114">
        <f>F76/F27</f>
        <v>0.11480969727421178</v>
      </c>
      <c r="G77" s="115">
        <f>G76/G27</f>
        <v>0.11812420785804817</v>
      </c>
      <c r="H77" s="27"/>
      <c r="I77" s="27"/>
      <c r="J77" s="27"/>
      <c r="K77" s="55"/>
      <c r="L77" s="18"/>
      <c r="N77" s="27"/>
      <c r="O77" s="27"/>
      <c r="P77" s="27"/>
      <c r="Q77" s="27"/>
    </row>
    <row r="78" spans="1:24" x14ac:dyDescent="0.2">
      <c r="E78" s="20"/>
      <c r="F78" s="114"/>
      <c r="G78" s="115"/>
      <c r="K78" s="57"/>
      <c r="L78" s="18"/>
    </row>
    <row r="79" spans="1:24" x14ac:dyDescent="0.2">
      <c r="B79" s="27" t="s">
        <v>69</v>
      </c>
      <c r="E79" s="20"/>
      <c r="F79" s="51">
        <v>309</v>
      </c>
      <c r="G79" s="51">
        <v>305</v>
      </c>
      <c r="K79" s="59"/>
      <c r="L79" s="18"/>
    </row>
    <row r="80" spans="1:24" x14ac:dyDescent="0.2">
      <c r="B80" s="27" t="s">
        <v>70</v>
      </c>
      <c r="E80" s="20"/>
      <c r="F80" s="24">
        <f>F76/F79</f>
        <v>2.9579288025889969</v>
      </c>
      <c r="G80" s="24">
        <f>G76/G79</f>
        <v>3.055737704918033</v>
      </c>
      <c r="K80" s="75"/>
      <c r="L80" s="18"/>
    </row>
    <row r="81" spans="1:12" x14ac:dyDescent="0.2">
      <c r="B81" s="27" t="s">
        <v>71</v>
      </c>
      <c r="E81" s="20"/>
      <c r="F81" s="51">
        <v>311</v>
      </c>
      <c r="G81" s="51">
        <v>307</v>
      </c>
      <c r="K81" s="59"/>
      <c r="L81" s="18"/>
    </row>
    <row r="82" spans="1:12" x14ac:dyDescent="0.2">
      <c r="B82" s="27" t="s">
        <v>18</v>
      </c>
      <c r="E82" s="20"/>
      <c r="F82" s="24">
        <f>F76/F81</f>
        <v>2.9389067524115755</v>
      </c>
      <c r="G82" s="24">
        <f>G76/G81</f>
        <v>3.0358306188925082</v>
      </c>
      <c r="K82" s="75"/>
      <c r="L82" s="18"/>
    </row>
    <row r="83" spans="1:12" x14ac:dyDescent="0.2">
      <c r="E83" s="20"/>
      <c r="F83" s="31"/>
      <c r="G83" s="24"/>
      <c r="K83" s="75"/>
      <c r="L83" s="18"/>
    </row>
    <row r="84" spans="1:12" ht="15" x14ac:dyDescent="0.25">
      <c r="A84" s="121" t="s">
        <v>72</v>
      </c>
      <c r="E84" s="20"/>
      <c r="F84" s="31"/>
      <c r="G84" s="24"/>
      <c r="K84" s="75"/>
      <c r="L84" s="18"/>
    </row>
    <row r="85" spans="1:12" x14ac:dyDescent="0.2">
      <c r="A85" s="33"/>
      <c r="B85" s="27" t="s">
        <v>73</v>
      </c>
      <c r="E85" s="20"/>
      <c r="F85" s="51">
        <v>1908</v>
      </c>
      <c r="G85" s="51">
        <v>1900</v>
      </c>
      <c r="K85" s="75"/>
      <c r="L85" s="18"/>
    </row>
    <row r="86" spans="1:12" x14ac:dyDescent="0.2">
      <c r="A86" s="33"/>
      <c r="B86" s="27" t="s">
        <v>74</v>
      </c>
      <c r="E86" s="20"/>
      <c r="F86" s="51">
        <v>2555</v>
      </c>
      <c r="G86" s="51">
        <v>2395</v>
      </c>
      <c r="K86" s="75"/>
      <c r="L86" s="18"/>
    </row>
    <row r="87" spans="1:12" s="33" customFormat="1" x14ac:dyDescent="0.2">
      <c r="B87" s="33" t="s">
        <v>75</v>
      </c>
      <c r="E87" s="61"/>
      <c r="F87" s="33">
        <f>F85-F86</f>
        <v>-647</v>
      </c>
      <c r="G87" s="33">
        <f>G85-G86</f>
        <v>-495</v>
      </c>
      <c r="K87" s="76"/>
      <c r="L87" s="61"/>
    </row>
    <row r="88" spans="1:12" x14ac:dyDescent="0.2">
      <c r="A88" s="33"/>
      <c r="E88" s="20"/>
      <c r="F88" s="31"/>
      <c r="G88" s="24"/>
      <c r="K88" s="75"/>
      <c r="L88" s="18"/>
    </row>
    <row r="89" spans="1:12" x14ac:dyDescent="0.2">
      <c r="B89" s="36" t="s">
        <v>76</v>
      </c>
      <c r="E89" s="20"/>
      <c r="F89" s="51">
        <v>626</v>
      </c>
      <c r="G89" s="51">
        <v>605</v>
      </c>
      <c r="K89" s="59"/>
      <c r="L89" s="18"/>
    </row>
    <row r="90" spans="1:12" x14ac:dyDescent="0.2">
      <c r="B90" s="36" t="s">
        <v>77</v>
      </c>
      <c r="E90" s="20"/>
      <c r="F90" s="51">
        <v>940</v>
      </c>
      <c r="G90" s="51">
        <v>902</v>
      </c>
      <c r="K90" s="59"/>
      <c r="L90" s="18"/>
    </row>
    <row r="91" spans="1:12" x14ac:dyDescent="0.2">
      <c r="B91" s="36" t="s">
        <v>78</v>
      </c>
      <c r="E91" s="20"/>
      <c r="F91" s="51">
        <v>46</v>
      </c>
      <c r="G91" s="51">
        <v>74</v>
      </c>
      <c r="K91" s="59"/>
      <c r="L91" s="18"/>
    </row>
    <row r="92" spans="1:12" x14ac:dyDescent="0.2">
      <c r="B92" s="36" t="s">
        <v>79</v>
      </c>
      <c r="E92" s="20"/>
      <c r="F92" s="51">
        <v>0</v>
      </c>
      <c r="G92" s="51">
        <v>0</v>
      </c>
      <c r="K92" s="59"/>
      <c r="L92" s="18"/>
    </row>
    <row r="93" spans="1:12" x14ac:dyDescent="0.2">
      <c r="B93" s="36" t="s">
        <v>80</v>
      </c>
      <c r="E93" s="20"/>
      <c r="F93" s="51">
        <v>0</v>
      </c>
      <c r="G93" s="51">
        <v>0</v>
      </c>
      <c r="K93" s="59"/>
      <c r="L93" s="18"/>
    </row>
    <row r="94" spans="1:12" x14ac:dyDescent="0.2">
      <c r="B94" s="36" t="s">
        <v>81</v>
      </c>
      <c r="E94" s="20"/>
      <c r="F94" s="51">
        <v>610</v>
      </c>
      <c r="G94" s="51">
        <v>666</v>
      </c>
      <c r="K94" s="59"/>
      <c r="L94" s="18"/>
    </row>
    <row r="95" spans="1:12" x14ac:dyDescent="0.2">
      <c r="B95" s="36" t="s">
        <v>82</v>
      </c>
      <c r="E95" s="20"/>
      <c r="F95" s="51">
        <v>604</v>
      </c>
      <c r="G95" s="51">
        <v>561</v>
      </c>
      <c r="K95" s="59"/>
      <c r="L95" s="18"/>
    </row>
    <row r="96" spans="1:12" x14ac:dyDescent="0.2">
      <c r="B96" s="36" t="s">
        <v>83</v>
      </c>
      <c r="E96" s="20"/>
      <c r="F96" s="51">
        <v>22</v>
      </c>
      <c r="G96" s="51">
        <v>20</v>
      </c>
      <c r="K96" s="59"/>
      <c r="L96" s="18"/>
    </row>
    <row r="97" spans="1:17" x14ac:dyDescent="0.2">
      <c r="B97" s="36" t="s">
        <v>84</v>
      </c>
      <c r="E97" s="20"/>
      <c r="F97" s="51">
        <v>0</v>
      </c>
      <c r="G97" s="51">
        <v>0</v>
      </c>
      <c r="K97" s="59"/>
      <c r="L97" s="18"/>
    </row>
    <row r="98" spans="1:17" x14ac:dyDescent="0.2">
      <c r="B98" s="36" t="s">
        <v>85</v>
      </c>
      <c r="E98" s="20"/>
      <c r="F98" s="51">
        <v>0</v>
      </c>
      <c r="G98" s="51">
        <v>0</v>
      </c>
      <c r="K98" s="59"/>
      <c r="L98" s="18"/>
    </row>
    <row r="99" spans="1:17" s="33" customFormat="1" x14ac:dyDescent="0.2">
      <c r="B99" s="33" t="s">
        <v>86</v>
      </c>
      <c r="E99" s="61"/>
      <c r="F99" s="33">
        <f>SUM(F89:F93)-SUM(F94:F98)</f>
        <v>376</v>
      </c>
      <c r="G99" s="33">
        <f>SUM(G89:G93)-SUM(G94:G98)</f>
        <v>334</v>
      </c>
      <c r="K99" s="77"/>
      <c r="L99" s="61"/>
    </row>
    <row r="100" spans="1:17" s="38" customFormat="1" x14ac:dyDescent="0.2">
      <c r="A100" s="27"/>
      <c r="B100" s="27" t="s">
        <v>87</v>
      </c>
      <c r="C100" s="27"/>
      <c r="D100" s="27"/>
      <c r="E100" s="20"/>
      <c r="F100" s="115">
        <f>F99/F27</f>
        <v>4.7230247456349704E-2</v>
      </c>
      <c r="G100" s="115">
        <f>G99/G27</f>
        <v>4.2332065906210394E-2</v>
      </c>
      <c r="H100" s="27"/>
      <c r="I100" s="27"/>
      <c r="J100" s="27"/>
      <c r="K100" s="55"/>
      <c r="L100" s="18"/>
      <c r="N100" s="27"/>
      <c r="O100" s="27"/>
      <c r="P100" s="27"/>
      <c r="Q100" s="27"/>
    </row>
    <row r="101" spans="1:17" s="38" customFormat="1" x14ac:dyDescent="0.2">
      <c r="A101" s="27"/>
      <c r="B101" s="27" t="s">
        <v>88</v>
      </c>
      <c r="C101" s="27"/>
      <c r="D101" s="27"/>
      <c r="E101" s="20"/>
      <c r="F101" s="32">
        <f>F89/F27*365</f>
        <v>28.70116819495038</v>
      </c>
      <c r="G101" s="32">
        <f>G89/G27*365</f>
        <v>27.987959442332063</v>
      </c>
      <c r="H101" s="27"/>
      <c r="I101" s="27"/>
      <c r="J101" s="27"/>
      <c r="K101" s="78"/>
      <c r="L101" s="19"/>
    </row>
    <row r="102" spans="1:17" s="38" customFormat="1" x14ac:dyDescent="0.2">
      <c r="A102" s="27"/>
      <c r="B102" s="27" t="s">
        <v>89</v>
      </c>
      <c r="C102" s="27"/>
      <c r="D102" s="27"/>
      <c r="E102" s="20"/>
      <c r="F102" s="27">
        <f>F90/F30*365</f>
        <v>66.222736923373873</v>
      </c>
      <c r="G102" s="27">
        <f>G90/G30*365</f>
        <v>68.205925005179196</v>
      </c>
      <c r="H102" s="27"/>
      <c r="I102" s="27"/>
      <c r="J102" s="27"/>
      <c r="K102" s="78"/>
      <c r="L102" s="19"/>
    </row>
    <row r="103" spans="1:17" s="38" customFormat="1" x14ac:dyDescent="0.2">
      <c r="A103" s="27"/>
      <c r="B103" s="27" t="s">
        <v>90</v>
      </c>
      <c r="C103" s="27"/>
      <c r="D103" s="27"/>
      <c r="E103" s="20"/>
      <c r="F103" s="27">
        <f>F94/F30*365</f>
        <v>42.974329280061767</v>
      </c>
      <c r="G103" s="27">
        <f>G94/G30*365</f>
        <v>50.360472343070228</v>
      </c>
      <c r="H103" s="27"/>
      <c r="I103" s="27"/>
      <c r="J103" s="27"/>
      <c r="K103" s="78"/>
      <c r="L103" s="19"/>
    </row>
    <row r="104" spans="1:17" x14ac:dyDescent="0.2">
      <c r="E104" s="20"/>
      <c r="G104" s="29"/>
      <c r="K104" s="29"/>
      <c r="L104" s="18"/>
    </row>
    <row r="105" spans="1:17" ht="15" x14ac:dyDescent="0.25">
      <c r="A105" s="121" t="s">
        <v>91</v>
      </c>
      <c r="E105" s="20"/>
      <c r="G105" s="29"/>
      <c r="K105" s="29"/>
      <c r="L105" s="18"/>
    </row>
    <row r="106" spans="1:17" x14ac:dyDescent="0.2">
      <c r="B106" s="27" t="s">
        <v>92</v>
      </c>
      <c r="E106" s="20"/>
      <c r="F106" s="51">
        <v>2407</v>
      </c>
      <c r="G106" s="51">
        <v>2454</v>
      </c>
      <c r="K106" s="59"/>
      <c r="L106" s="18"/>
    </row>
    <row r="107" spans="1:17" s="38" customFormat="1" x14ac:dyDescent="0.2">
      <c r="A107" s="27"/>
      <c r="B107" s="27" t="s">
        <v>93</v>
      </c>
      <c r="C107" s="27"/>
      <c r="D107" s="27"/>
      <c r="E107" s="20"/>
      <c r="F107" s="114">
        <f>F106/F27</f>
        <v>0.30234895113679189</v>
      </c>
      <c r="G107" s="115">
        <f>G106/G27</f>
        <v>0.31102661596958175</v>
      </c>
      <c r="H107" s="27"/>
      <c r="I107" s="27"/>
      <c r="J107" s="27"/>
      <c r="K107" s="55"/>
      <c r="L107" s="18"/>
      <c r="N107" s="27"/>
      <c r="O107" s="27"/>
      <c r="P107" s="27"/>
      <c r="Q107" s="27"/>
    </row>
    <row r="108" spans="1:17" x14ac:dyDescent="0.2">
      <c r="B108" s="79" t="s">
        <v>94</v>
      </c>
      <c r="E108" s="20"/>
      <c r="F108" s="51">
        <v>341</v>
      </c>
      <c r="G108" s="51">
        <v>338</v>
      </c>
      <c r="H108" s="20"/>
      <c r="K108" s="59"/>
      <c r="L108" s="18"/>
    </row>
    <row r="109" spans="1:17" s="38" customFormat="1" x14ac:dyDescent="0.2">
      <c r="A109" s="27"/>
      <c r="B109" s="27" t="s">
        <v>95</v>
      </c>
      <c r="C109" s="27"/>
      <c r="D109" s="27"/>
      <c r="E109" s="20"/>
      <c r="F109" s="31">
        <f>F108/F49</f>
        <v>1.1840277777777777</v>
      </c>
      <c r="G109" s="31">
        <f>G108/G49</f>
        <v>1.1304347826086956</v>
      </c>
      <c r="H109" s="27"/>
      <c r="I109" s="27"/>
      <c r="J109" s="27"/>
      <c r="K109" s="80"/>
      <c r="L109" s="18"/>
      <c r="N109" s="27"/>
      <c r="O109" s="27"/>
      <c r="P109" s="27"/>
      <c r="Q109" s="27"/>
    </row>
    <row r="110" spans="1:17" x14ac:dyDescent="0.2">
      <c r="E110" s="20"/>
      <c r="F110" s="31"/>
      <c r="G110" s="24"/>
      <c r="K110" s="75"/>
      <c r="L110" s="18"/>
    </row>
    <row r="111" spans="1:17" ht="15" x14ac:dyDescent="0.25">
      <c r="A111" s="121" t="s">
        <v>96</v>
      </c>
      <c r="E111" s="20"/>
      <c r="F111" s="31"/>
      <c r="G111" s="24"/>
      <c r="K111" s="75"/>
      <c r="L111" s="18"/>
    </row>
    <row r="112" spans="1:17" x14ac:dyDescent="0.2">
      <c r="B112" s="36" t="s">
        <v>97</v>
      </c>
      <c r="E112" s="20"/>
      <c r="F112" s="51">
        <v>1219</v>
      </c>
      <c r="G112" s="51">
        <v>1037</v>
      </c>
      <c r="K112" s="59"/>
      <c r="L112" s="18"/>
    </row>
    <row r="113" spans="1:17" x14ac:dyDescent="0.2">
      <c r="B113" s="36" t="s">
        <v>98</v>
      </c>
      <c r="E113" s="20"/>
      <c r="F113" s="51">
        <v>2314</v>
      </c>
      <c r="G113" s="51">
        <v>2499</v>
      </c>
      <c r="K113" s="59"/>
      <c r="L113" s="18"/>
    </row>
    <row r="114" spans="1:17" x14ac:dyDescent="0.2">
      <c r="B114" s="36" t="s">
        <v>99</v>
      </c>
      <c r="E114" s="20"/>
      <c r="F114" s="51">
        <v>0</v>
      </c>
      <c r="G114" s="51">
        <v>0</v>
      </c>
      <c r="K114" s="59"/>
      <c r="L114" s="18"/>
    </row>
    <row r="115" spans="1:17" x14ac:dyDescent="0.2">
      <c r="B115" s="36" t="s">
        <v>100</v>
      </c>
      <c r="E115" s="20"/>
      <c r="F115" s="51">
        <v>0</v>
      </c>
      <c r="G115" s="51">
        <v>0</v>
      </c>
      <c r="K115" s="59"/>
      <c r="L115" s="18"/>
    </row>
    <row r="116" spans="1:17" x14ac:dyDescent="0.2">
      <c r="B116" s="36" t="s">
        <v>101</v>
      </c>
      <c r="E116" s="20"/>
      <c r="F116" s="51">
        <v>0</v>
      </c>
      <c r="G116" s="51">
        <v>0</v>
      </c>
      <c r="K116" s="59"/>
      <c r="L116" s="18"/>
    </row>
    <row r="117" spans="1:17" s="33" customFormat="1" x14ac:dyDescent="0.2">
      <c r="B117" s="33" t="s">
        <v>17</v>
      </c>
      <c r="E117" s="61"/>
      <c r="F117" s="33">
        <f>SUM(F112:F116)</f>
        <v>3533</v>
      </c>
      <c r="G117" s="33">
        <f>SUM(G112:G116)</f>
        <v>3536</v>
      </c>
      <c r="K117" s="77"/>
      <c r="L117" s="61"/>
    </row>
    <row r="118" spans="1:17" x14ac:dyDescent="0.2">
      <c r="B118" s="27" t="s">
        <v>102</v>
      </c>
      <c r="E118" s="20"/>
      <c r="F118" s="51">
        <f>296-100</f>
        <v>196</v>
      </c>
      <c r="G118" s="51">
        <f>319-111</f>
        <v>208</v>
      </c>
      <c r="K118" s="59"/>
      <c r="L118" s="18"/>
    </row>
    <row r="119" spans="1:17" s="33" customFormat="1" x14ac:dyDescent="0.2">
      <c r="B119" s="33" t="s">
        <v>16</v>
      </c>
      <c r="E119" s="61"/>
      <c r="F119" s="33">
        <f>F117-F118</f>
        <v>3337</v>
      </c>
      <c r="G119" s="33">
        <f>G117-G118</f>
        <v>3328</v>
      </c>
      <c r="K119" s="37"/>
      <c r="L119" s="61"/>
    </row>
    <row r="120" spans="1:17" s="38" customFormat="1" x14ac:dyDescent="0.2">
      <c r="A120" s="27"/>
      <c r="B120" s="27" t="s">
        <v>34</v>
      </c>
      <c r="C120" s="27"/>
      <c r="D120" s="27"/>
      <c r="E120" s="20"/>
      <c r="F120" s="31">
        <f>F117/F52</f>
        <v>1.9904225352112677</v>
      </c>
      <c r="G120" s="31">
        <f>G117/G52</f>
        <v>1.9535911602209945</v>
      </c>
      <c r="H120" s="27"/>
      <c r="I120" s="27"/>
      <c r="J120" s="27"/>
      <c r="K120" s="80"/>
      <c r="L120" s="19"/>
    </row>
    <row r="121" spans="1:17" s="38" customFormat="1" x14ac:dyDescent="0.2">
      <c r="A121" s="27"/>
      <c r="B121" s="27" t="s">
        <v>103</v>
      </c>
      <c r="C121" s="27"/>
      <c r="D121" s="27"/>
      <c r="E121" s="20"/>
      <c r="F121" s="31">
        <f>F119/F52</f>
        <v>1.88</v>
      </c>
      <c r="G121" s="31">
        <f>G119/G52</f>
        <v>1.8386740331491713</v>
      </c>
      <c r="H121" s="27"/>
      <c r="I121" s="27"/>
      <c r="J121" s="27"/>
      <c r="K121" s="80"/>
      <c r="L121" s="19"/>
    </row>
    <row r="122" spans="1:17" x14ac:dyDescent="0.2">
      <c r="B122" s="27" t="s">
        <v>104</v>
      </c>
      <c r="E122" s="20"/>
      <c r="F122" s="51">
        <v>4</v>
      </c>
      <c r="G122" s="51">
        <v>5</v>
      </c>
      <c r="K122" s="59"/>
      <c r="L122" s="18"/>
    </row>
    <row r="123" spans="1:17" x14ac:dyDescent="0.2">
      <c r="B123" s="27" t="s">
        <v>105</v>
      </c>
      <c r="E123" s="20"/>
      <c r="F123" s="51">
        <v>115</v>
      </c>
      <c r="G123" s="51">
        <v>112</v>
      </c>
      <c r="K123" s="59"/>
      <c r="L123" s="18"/>
    </row>
    <row r="124" spans="1:17" s="38" customFormat="1" x14ac:dyDescent="0.2">
      <c r="A124" s="27"/>
      <c r="B124" s="27" t="s">
        <v>36</v>
      </c>
      <c r="C124" s="27"/>
      <c r="D124" s="27"/>
      <c r="E124" s="20"/>
      <c r="F124" s="27">
        <f>F52/F123</f>
        <v>15.434782608695652</v>
      </c>
      <c r="G124" s="27">
        <f>G52/G123</f>
        <v>16.160714285714285</v>
      </c>
      <c r="H124" s="27"/>
      <c r="I124" s="27"/>
      <c r="J124" s="27"/>
      <c r="K124" s="80"/>
      <c r="L124" s="19"/>
    </row>
    <row r="125" spans="1:17" x14ac:dyDescent="0.2">
      <c r="B125" s="27" t="s">
        <v>106</v>
      </c>
      <c r="E125" s="20"/>
      <c r="F125" s="51">
        <v>1533</v>
      </c>
      <c r="G125" s="51">
        <v>1645</v>
      </c>
      <c r="K125" s="59"/>
      <c r="L125" s="18"/>
    </row>
    <row r="126" spans="1:17" s="38" customFormat="1" x14ac:dyDescent="0.2">
      <c r="A126" s="27"/>
      <c r="B126" s="27" t="s">
        <v>107</v>
      </c>
      <c r="C126" s="27"/>
      <c r="D126" s="27"/>
      <c r="E126" s="20"/>
      <c r="F126" s="114">
        <f>F117/F125</f>
        <v>2.3046314416177429</v>
      </c>
      <c r="G126" s="114">
        <f>G117/G125</f>
        <v>2.1495440729483284</v>
      </c>
      <c r="H126" s="27"/>
      <c r="I126" s="27"/>
      <c r="J126" s="27"/>
      <c r="K126" s="81"/>
      <c r="L126" s="18"/>
      <c r="N126" s="27"/>
      <c r="O126" s="27"/>
      <c r="P126" s="27"/>
      <c r="Q126" s="27"/>
    </row>
    <row r="127" spans="1:17" s="38" customFormat="1" x14ac:dyDescent="0.2">
      <c r="A127" s="27"/>
      <c r="B127" s="27"/>
      <c r="C127" s="27"/>
      <c r="D127" s="27"/>
      <c r="E127" s="20"/>
      <c r="F127" s="114"/>
      <c r="G127" s="114"/>
      <c r="H127" s="27"/>
      <c r="I127" s="27"/>
      <c r="J127" s="27"/>
      <c r="K127" s="81"/>
      <c r="L127" s="18"/>
      <c r="N127" s="27"/>
      <c r="O127" s="27"/>
      <c r="P127" s="27"/>
      <c r="Q127" s="27"/>
    </row>
    <row r="128" spans="1:17" s="38" customFormat="1" ht="15" x14ac:dyDescent="0.25">
      <c r="A128" s="121" t="s">
        <v>108</v>
      </c>
      <c r="B128" s="27"/>
      <c r="C128" s="27"/>
      <c r="D128" s="27"/>
      <c r="E128" s="20"/>
      <c r="F128" s="114"/>
      <c r="G128" s="114"/>
      <c r="H128" s="27"/>
      <c r="I128" s="27"/>
      <c r="J128" s="27"/>
      <c r="K128" s="81"/>
      <c r="L128" s="18"/>
      <c r="N128" s="27"/>
      <c r="O128" s="27"/>
      <c r="P128" s="27"/>
      <c r="Q128" s="27"/>
    </row>
    <row r="129" spans="1:17" s="38" customFormat="1" x14ac:dyDescent="0.2">
      <c r="A129" s="27"/>
      <c r="B129" s="27" t="s">
        <v>15</v>
      </c>
      <c r="C129" s="27"/>
      <c r="D129" s="27"/>
      <c r="E129" s="20"/>
      <c r="F129" s="114">
        <f>F76/F125</f>
        <v>0.59621656881930851</v>
      </c>
      <c r="G129" s="114">
        <f>G76/G125</f>
        <v>0.56656534954407289</v>
      </c>
      <c r="H129" s="27"/>
      <c r="I129" s="27"/>
      <c r="J129" s="27"/>
      <c r="K129" s="81"/>
      <c r="L129" s="18"/>
      <c r="N129" s="27"/>
      <c r="O129" s="27"/>
      <c r="P129" s="27"/>
      <c r="Q129" s="27"/>
    </row>
    <row r="130" spans="1:17" ht="15" x14ac:dyDescent="0.2">
      <c r="B130" s="82"/>
      <c r="C130" s="82"/>
      <c r="D130" s="82"/>
      <c r="E130" s="82"/>
      <c r="F130" s="82"/>
      <c r="G130" s="82"/>
      <c r="K130" s="83"/>
      <c r="L130" s="18"/>
    </row>
    <row r="131" spans="1:17" x14ac:dyDescent="0.2">
      <c r="B131" s="27" t="str">
        <f>B62</f>
        <v>NOPAT</v>
      </c>
      <c r="F131" s="27">
        <f>F62</f>
        <v>972.81625441696121</v>
      </c>
      <c r="G131" s="27">
        <f>G62</f>
        <v>1023.5143078112916</v>
      </c>
      <c r="L131" s="18"/>
    </row>
    <row r="132" spans="1:17" x14ac:dyDescent="0.2">
      <c r="B132" s="27" t="str">
        <f>B125</f>
        <v>Equity - book value (inc. NCI)</v>
      </c>
      <c r="F132" s="27">
        <f>F125</f>
        <v>1533</v>
      </c>
      <c r="G132" s="27">
        <f>G125</f>
        <v>1645</v>
      </c>
      <c r="L132" s="18"/>
    </row>
    <row r="133" spans="1:17" x14ac:dyDescent="0.2">
      <c r="B133" s="27" t="str">
        <f>B119</f>
        <v>Net debt</v>
      </c>
      <c r="F133" s="27">
        <f>F119</f>
        <v>3337</v>
      </c>
      <c r="G133" s="27">
        <f>G119</f>
        <v>3328</v>
      </c>
      <c r="L133" s="18"/>
    </row>
    <row r="134" spans="1:17" x14ac:dyDescent="0.2">
      <c r="B134" s="27" t="s">
        <v>109</v>
      </c>
      <c r="F134" s="27">
        <f>SUM(F132:F133)</f>
        <v>4870</v>
      </c>
      <c r="G134" s="27">
        <f>SUM(G132:G133)</f>
        <v>4973</v>
      </c>
      <c r="L134" s="18"/>
    </row>
    <row r="135" spans="1:17" x14ac:dyDescent="0.2">
      <c r="B135" s="27" t="s">
        <v>14</v>
      </c>
      <c r="F135" s="114">
        <f>F131/F134</f>
        <v>0.19975693109177847</v>
      </c>
      <c r="G135" s="114">
        <f>G131/G134</f>
        <v>0.20581425855847407</v>
      </c>
      <c r="L135" s="18"/>
    </row>
    <row r="136" spans="1:17" x14ac:dyDescent="0.2">
      <c r="L136" s="18"/>
    </row>
    <row r="137" spans="1:17" x14ac:dyDescent="0.2">
      <c r="B137" s="33"/>
    </row>
  </sheetData>
  <printOptions headings="1" gridLines="1"/>
  <pageMargins left="0.74803149606299213" right="0.74803149606299213" top="0.98425196850393704" bottom="0.98425196850393704" header="0.51181102362204722" footer="0.51181102362204722"/>
  <pageSetup fitToHeight="0" orientation="landscape" r:id="rId1"/>
  <headerFooter alignWithMargins="0">
    <oddHeader>&amp;L&amp;8&amp;F &amp;A</oddHeader>
    <oddFooter>&amp;R &amp;8Page &amp;P of &amp;N&amp;L&amp;8© AMT Training 2008 - 2017</oddFooter>
  </headerFooter>
  <rowBreaks count="2" manualBreakCount="2">
    <brk id="25" max="17" man="1"/>
    <brk id="82" max="17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39"/>
    <pageSetUpPr autoPageBreaks="0"/>
  </sheetPr>
  <dimension ref="A1:X139"/>
  <sheetViews>
    <sheetView showGridLines="0" zoomScaleNormal="100" workbookViewId="0"/>
  </sheetViews>
  <sheetFormatPr defaultColWidth="9.140625" defaultRowHeight="12.75" x14ac:dyDescent="0.2"/>
  <cols>
    <col min="1" max="1" width="2.42578125" style="27" customWidth="1"/>
    <col min="2" max="2" width="48.7109375" style="27" customWidth="1"/>
    <col min="3" max="10" width="10.42578125" style="27" customWidth="1"/>
    <col min="11" max="11" width="10.42578125" style="28" customWidth="1"/>
    <col min="12" max="13" width="10.42578125" style="27" customWidth="1"/>
    <col min="14" max="14" width="16.140625" style="27" bestFit="1" customWidth="1"/>
    <col min="15" max="15" width="12" style="27" bestFit="1" customWidth="1"/>
    <col min="16" max="16384" width="9.140625" style="27"/>
  </cols>
  <sheetData>
    <row r="1" spans="1:19" ht="30" x14ac:dyDescent="0.45">
      <c r="A1" s="11" t="s">
        <v>110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9" s="111" customFormat="1" ht="15" customHeight="1" x14ac:dyDescent="0.25">
      <c r="A2" s="107"/>
      <c r="B2" s="107"/>
      <c r="C2" s="108" t="s">
        <v>20</v>
      </c>
      <c r="D2" s="108" t="s">
        <v>20</v>
      </c>
      <c r="E2" s="108" t="s">
        <v>20</v>
      </c>
      <c r="F2" s="108" t="s">
        <v>20</v>
      </c>
      <c r="G2" s="108" t="s">
        <v>20</v>
      </c>
      <c r="H2" s="108"/>
      <c r="I2" s="108" t="s">
        <v>21</v>
      </c>
      <c r="J2" s="108" t="s">
        <v>21</v>
      </c>
      <c r="K2" s="108" t="s">
        <v>22</v>
      </c>
      <c r="L2" s="108" t="s">
        <v>22</v>
      </c>
      <c r="M2" s="108" t="s">
        <v>22</v>
      </c>
      <c r="N2" s="109"/>
      <c r="O2" s="109"/>
      <c r="P2" s="109"/>
      <c r="Q2" s="109"/>
      <c r="R2" s="110"/>
      <c r="S2" s="110"/>
    </row>
    <row r="3" spans="1:19" s="6" customFormat="1" ht="19.5" thickBot="1" x14ac:dyDescent="0.35">
      <c r="A3" s="14" t="s">
        <v>23</v>
      </c>
      <c r="B3" s="15"/>
      <c r="C3" s="16">
        <f>EDATE(D3,-12)</f>
        <v>41639</v>
      </c>
      <c r="D3" s="16">
        <f>EDATE(E3,-12)</f>
        <v>42004</v>
      </c>
      <c r="E3" s="16">
        <f>EDATE(F3,-12)</f>
        <v>42369</v>
      </c>
      <c r="F3" s="16">
        <f>EDATE(G3,-12)</f>
        <v>42735</v>
      </c>
      <c r="G3" s="16">
        <v>43100</v>
      </c>
      <c r="H3" s="16" t="s">
        <v>11</v>
      </c>
      <c r="I3" s="16" t="s">
        <v>24</v>
      </c>
      <c r="J3" s="16" t="s">
        <v>25</v>
      </c>
      <c r="K3" s="16">
        <f>EDATE(G3,12)</f>
        <v>43465</v>
      </c>
      <c r="L3" s="16">
        <f>EDATE(K3,12)</f>
        <v>43830</v>
      </c>
      <c r="M3" s="16">
        <f>EDATE(L3,12)</f>
        <v>44196</v>
      </c>
      <c r="N3" s="16"/>
      <c r="O3" s="16"/>
      <c r="P3" s="16"/>
    </row>
    <row r="4" spans="1:19" ht="13.5" thickTop="1" x14ac:dyDescent="0.2"/>
    <row r="5" spans="1:19" ht="15" x14ac:dyDescent="0.25">
      <c r="A5" s="112" t="s">
        <v>26</v>
      </c>
      <c r="B5" s="38"/>
      <c r="C5" s="38"/>
      <c r="D5" s="38"/>
      <c r="E5" s="39"/>
      <c r="F5" s="39"/>
      <c r="G5" s="39"/>
      <c r="H5" s="39"/>
      <c r="I5" s="39"/>
      <c r="J5" s="39"/>
      <c r="K5" s="39"/>
      <c r="L5" s="39"/>
      <c r="M5" s="39"/>
    </row>
    <row r="6" spans="1:19" x14ac:dyDescent="0.2">
      <c r="A6" s="28"/>
      <c r="B6" s="28" t="s">
        <v>12</v>
      </c>
      <c r="C6" s="34">
        <f>C27</f>
        <v>21298</v>
      </c>
      <c r="D6" s="34">
        <f>D27</f>
        <v>21144</v>
      </c>
      <c r="E6" s="28">
        <f>E27</f>
        <v>22412</v>
      </c>
      <c r="F6" s="28">
        <f>F27</f>
        <v>21944</v>
      </c>
      <c r="G6" s="28">
        <f>G27</f>
        <v>24677</v>
      </c>
      <c r="H6" s="40">
        <f>G6-I6+J6</f>
        <v>24677</v>
      </c>
      <c r="I6" s="29">
        <f>I27</f>
        <v>0</v>
      </c>
      <c r="J6" s="29">
        <f>J27</f>
        <v>0</v>
      </c>
      <c r="K6" s="41"/>
      <c r="L6" s="41"/>
      <c r="M6" s="41"/>
    </row>
    <row r="7" spans="1:19" x14ac:dyDescent="0.2">
      <c r="A7" s="28"/>
      <c r="B7" s="28" t="s">
        <v>9</v>
      </c>
      <c r="C7" s="28"/>
      <c r="D7" s="28"/>
      <c r="E7" s="28"/>
      <c r="F7" s="28">
        <f>F52</f>
        <v>3818</v>
      </c>
      <c r="G7" s="28">
        <f>G52</f>
        <v>4432</v>
      </c>
      <c r="H7" s="40">
        <f>G7-I7+J7</f>
        <v>4432</v>
      </c>
      <c r="I7" s="29">
        <f>I52</f>
        <v>0</v>
      </c>
      <c r="J7" s="29">
        <f>J52</f>
        <v>0</v>
      </c>
      <c r="K7" s="42"/>
      <c r="L7" s="42"/>
      <c r="M7" s="42"/>
    </row>
    <row r="8" spans="1:19" x14ac:dyDescent="0.2">
      <c r="A8" s="28"/>
      <c r="B8" s="28" t="s">
        <v>10</v>
      </c>
      <c r="C8" s="28"/>
      <c r="D8" s="28"/>
      <c r="E8" s="28"/>
      <c r="F8" s="28">
        <f>F46</f>
        <v>3064</v>
      </c>
      <c r="G8" s="28">
        <f>G46</f>
        <v>3602</v>
      </c>
      <c r="H8" s="40">
        <f>G8-I8+J8</f>
        <v>3602</v>
      </c>
      <c r="I8" s="29">
        <f>I46</f>
        <v>0</v>
      </c>
      <c r="J8" s="29">
        <f>J46</f>
        <v>0</v>
      </c>
      <c r="K8" s="42"/>
      <c r="L8" s="42"/>
      <c r="M8" s="42"/>
    </row>
    <row r="9" spans="1:19" x14ac:dyDescent="0.2">
      <c r="A9" s="28"/>
      <c r="B9" s="28" t="s">
        <v>18</v>
      </c>
      <c r="C9" s="28"/>
      <c r="D9" s="28"/>
      <c r="E9" s="30"/>
      <c r="F9" s="30">
        <f>F85</f>
        <v>3.1059701321719775</v>
      </c>
      <c r="G9" s="30">
        <f>G85</f>
        <v>3.7814817142558836</v>
      </c>
      <c r="H9" s="43"/>
      <c r="I9" s="43"/>
      <c r="J9" s="43"/>
      <c r="K9" s="44"/>
      <c r="L9" s="44"/>
      <c r="M9" s="44"/>
    </row>
    <row r="10" spans="1:19" s="18" customFormat="1" x14ac:dyDescent="0.2">
      <c r="A10" s="35"/>
      <c r="B10" s="35"/>
      <c r="C10" s="35"/>
      <c r="D10" s="49"/>
      <c r="E10" s="49"/>
      <c r="F10" s="49"/>
      <c r="G10" s="49"/>
      <c r="H10" s="20"/>
      <c r="I10" s="20"/>
      <c r="J10" s="20"/>
      <c r="K10" s="20"/>
      <c r="L10" s="20"/>
      <c r="M10" s="20"/>
      <c r="N10" s="45" t="s">
        <v>13</v>
      </c>
      <c r="O10" s="45" t="s">
        <v>13</v>
      </c>
    </row>
    <row r="11" spans="1:19" s="18" customFormat="1" ht="15" x14ac:dyDescent="0.25">
      <c r="A11" s="113" t="s">
        <v>27</v>
      </c>
      <c r="B11" s="35"/>
      <c r="C11" s="35"/>
      <c r="D11" s="49"/>
      <c r="E11" s="49"/>
      <c r="F11" s="49"/>
      <c r="G11" s="84"/>
      <c r="H11" s="27"/>
      <c r="I11" s="27"/>
      <c r="J11" s="49"/>
      <c r="K11" s="49"/>
      <c r="L11" s="20"/>
      <c r="M11" s="20"/>
      <c r="N11" s="47" t="str">
        <f>TEXT(YEAR(E3),"0000")&amp;" - "&amp;TEXT(YEAR(G3),"0000")</f>
        <v>2015 - 2017</v>
      </c>
      <c r="O11" s="47" t="str">
        <f>TEXT(YEAR(G3),"0000")&amp;" - "&amp;TEXT(YEAR(M3),"0000")</f>
        <v>2017 - 2020</v>
      </c>
    </row>
    <row r="12" spans="1:19" s="18" customFormat="1" x14ac:dyDescent="0.2">
      <c r="A12" s="46"/>
      <c r="B12" s="35" t="s">
        <v>28</v>
      </c>
      <c r="C12" s="35"/>
      <c r="D12" s="48">
        <f>D28</f>
        <v>-7.2307258897549298E-3</v>
      </c>
      <c r="E12" s="48">
        <f>E28</f>
        <v>5.9969731365872025E-2</v>
      </c>
      <c r="F12" s="48">
        <f>F28</f>
        <v>-2.0881670533642649E-2</v>
      </c>
      <c r="G12" s="48">
        <f>G28</f>
        <v>0.12454429456799132</v>
      </c>
      <c r="H12" s="27"/>
      <c r="I12" s="27"/>
      <c r="J12" s="49"/>
      <c r="K12" s="48">
        <f>K6/G6-1</f>
        <v>-1</v>
      </c>
      <c r="L12" s="48" t="e">
        <f>L6/K6-1</f>
        <v>#DIV/0!</v>
      </c>
      <c r="M12" s="48" t="e">
        <f>M6/L6-1</f>
        <v>#DIV/0!</v>
      </c>
      <c r="N12" s="48">
        <f>(G6/E6)^(1/2)-1</f>
        <v>4.9314981837357941E-2</v>
      </c>
      <c r="O12" s="48">
        <f>(M6/G6)^(1/3)-1</f>
        <v>-1</v>
      </c>
    </row>
    <row r="13" spans="1:19" s="18" customFormat="1" x14ac:dyDescent="0.2">
      <c r="A13" s="46"/>
      <c r="B13" s="35" t="str">
        <f>B32</f>
        <v>Gross margin</v>
      </c>
      <c r="C13" s="35"/>
      <c r="D13" s="48"/>
      <c r="E13" s="48"/>
      <c r="F13" s="48">
        <f>F32</f>
        <v>0.51039008384979945</v>
      </c>
      <c r="G13" s="48">
        <f>G32</f>
        <v>0.49511691048344614</v>
      </c>
      <c r="H13" s="49"/>
      <c r="I13" s="48"/>
      <c r="J13" s="49"/>
      <c r="K13" s="49"/>
      <c r="L13" s="20"/>
      <c r="M13" s="20"/>
      <c r="N13" s="20"/>
      <c r="O13" s="20"/>
    </row>
    <row r="14" spans="1:19" x14ac:dyDescent="0.2">
      <c r="A14" s="28"/>
      <c r="B14" s="28" t="s">
        <v>29</v>
      </c>
      <c r="C14" s="28"/>
      <c r="D14" s="28"/>
      <c r="E14" s="28"/>
      <c r="F14" s="48">
        <f t="shared" ref="F14:M14" si="0">F7/F6</f>
        <v>0.17398833394094057</v>
      </c>
      <c r="G14" s="48">
        <f t="shared" si="0"/>
        <v>0.1796004376544961</v>
      </c>
      <c r="H14" s="48">
        <f t="shared" si="0"/>
        <v>0.1796004376544961</v>
      </c>
      <c r="I14" s="48" t="e">
        <f t="shared" si="0"/>
        <v>#DIV/0!</v>
      </c>
      <c r="J14" s="48" t="e">
        <f t="shared" si="0"/>
        <v>#DIV/0!</v>
      </c>
      <c r="K14" s="48" t="e">
        <f t="shared" si="0"/>
        <v>#DIV/0!</v>
      </c>
      <c r="L14" s="48" t="e">
        <f t="shared" si="0"/>
        <v>#DIV/0!</v>
      </c>
      <c r="M14" s="48" t="e">
        <f t="shared" si="0"/>
        <v>#DIV/0!</v>
      </c>
    </row>
    <row r="15" spans="1:19" s="18" customFormat="1" x14ac:dyDescent="0.2">
      <c r="A15" s="46"/>
      <c r="B15" s="35" t="s">
        <v>30</v>
      </c>
      <c r="C15" s="35"/>
      <c r="D15" s="49"/>
      <c r="E15" s="49"/>
      <c r="F15" s="48">
        <f t="shared" ref="F15:M15" si="1">F8/F6</f>
        <v>0.13962814436748086</v>
      </c>
      <c r="G15" s="48">
        <f t="shared" si="1"/>
        <v>0.1459658791587308</v>
      </c>
      <c r="H15" s="48">
        <f t="shared" si="1"/>
        <v>0.1459658791587308</v>
      </c>
      <c r="I15" s="48" t="e">
        <f t="shared" si="1"/>
        <v>#DIV/0!</v>
      </c>
      <c r="J15" s="48" t="e">
        <f t="shared" si="1"/>
        <v>#DIV/0!</v>
      </c>
      <c r="K15" s="48" t="e">
        <f t="shared" si="1"/>
        <v>#DIV/0!</v>
      </c>
      <c r="L15" s="48" t="e">
        <f t="shared" si="1"/>
        <v>#DIV/0!</v>
      </c>
      <c r="M15" s="48" t="e">
        <f t="shared" si="1"/>
        <v>#DIV/0!</v>
      </c>
      <c r="N15" s="20"/>
      <c r="O15" s="20"/>
    </row>
    <row r="16" spans="1:19" x14ac:dyDescent="0.2">
      <c r="A16" s="28"/>
      <c r="B16" s="28" t="s">
        <v>31</v>
      </c>
      <c r="C16" s="28"/>
      <c r="D16" s="28"/>
      <c r="E16" s="28"/>
      <c r="F16" s="48">
        <f>F103</f>
        <v>-7.0543200874954429E-2</v>
      </c>
      <c r="G16" s="48">
        <f>G103</f>
        <v>-4.5062203671434937E-2</v>
      </c>
      <c r="H16" s="28"/>
      <c r="I16" s="28"/>
      <c r="J16" s="28"/>
      <c r="L16" s="28"/>
      <c r="M16" s="28"/>
    </row>
    <row r="17" spans="1:17" x14ac:dyDescent="0.2">
      <c r="A17" s="28"/>
      <c r="B17" s="28" t="s">
        <v>32</v>
      </c>
      <c r="C17" s="28"/>
      <c r="D17" s="28"/>
      <c r="E17" s="28"/>
      <c r="F17" s="48">
        <f>F110</f>
        <v>0.22949325555960626</v>
      </c>
      <c r="G17" s="48">
        <f>G110</f>
        <v>0.24334400453863922</v>
      </c>
      <c r="H17" s="28"/>
      <c r="I17" s="28"/>
      <c r="J17" s="28"/>
      <c r="L17" s="28"/>
      <c r="M17" s="28"/>
    </row>
    <row r="18" spans="1:17" x14ac:dyDescent="0.2">
      <c r="A18" s="28"/>
      <c r="B18" s="28" t="s">
        <v>33</v>
      </c>
      <c r="C18" s="28"/>
      <c r="D18" s="28"/>
      <c r="E18" s="28"/>
      <c r="F18" s="28">
        <f>F112</f>
        <v>1.4239766081871346</v>
      </c>
      <c r="G18" s="28">
        <f>G112</f>
        <v>1.3812754409769334</v>
      </c>
      <c r="H18" s="28"/>
      <c r="I18" s="28"/>
      <c r="J18" s="28"/>
      <c r="L18" s="28"/>
      <c r="M18" s="28"/>
    </row>
    <row r="19" spans="1:17" x14ac:dyDescent="0.2">
      <c r="A19" s="28"/>
      <c r="B19" s="28" t="s">
        <v>34</v>
      </c>
      <c r="C19" s="28"/>
      <c r="D19" s="28"/>
      <c r="E19" s="28"/>
      <c r="F19" s="28">
        <f>F123</f>
        <v>5.524096385542169</v>
      </c>
      <c r="G19" s="28">
        <f>G123</f>
        <v>4.393727436823105</v>
      </c>
      <c r="H19" s="28"/>
      <c r="I19" s="28"/>
      <c r="J19" s="28"/>
      <c r="L19" s="28"/>
      <c r="M19" s="28"/>
    </row>
    <row r="20" spans="1:17" x14ac:dyDescent="0.2">
      <c r="A20" s="28"/>
      <c r="B20" s="28" t="s">
        <v>35</v>
      </c>
      <c r="C20" s="28"/>
      <c r="D20" s="28"/>
      <c r="E20" s="28"/>
      <c r="F20" s="28">
        <f>F124</f>
        <v>1.9567836563645888</v>
      </c>
      <c r="G20" s="28">
        <f>G124</f>
        <v>3.4686371841155235</v>
      </c>
      <c r="H20" s="28"/>
      <c r="I20" s="28"/>
      <c r="J20" s="28"/>
      <c r="L20" s="28"/>
      <c r="M20" s="28"/>
    </row>
    <row r="21" spans="1:17" x14ac:dyDescent="0.2">
      <c r="A21" s="28"/>
      <c r="B21" s="28" t="s">
        <v>36</v>
      </c>
      <c r="C21" s="28"/>
      <c r="D21" s="28"/>
      <c r="E21" s="28"/>
      <c r="F21" s="28">
        <f>F127</f>
        <v>13.833333333333334</v>
      </c>
      <c r="G21" s="28">
        <f>G127</f>
        <v>10.705314009661835</v>
      </c>
      <c r="H21" s="28"/>
      <c r="I21" s="28"/>
      <c r="J21" s="28"/>
      <c r="L21" s="28"/>
      <c r="M21" s="28"/>
    </row>
    <row r="22" spans="1:17" x14ac:dyDescent="0.2">
      <c r="A22" s="28"/>
      <c r="B22" s="28" t="str">
        <f>B129</f>
        <v>Total debt / equity</v>
      </c>
      <c r="C22" s="28"/>
      <c r="D22" s="28"/>
      <c r="E22" s="28"/>
      <c r="F22" s="48">
        <f>F129</f>
        <v>1.5985296346824314</v>
      </c>
      <c r="G22" s="48">
        <f>G129</f>
        <v>1.3361465623713462</v>
      </c>
      <c r="H22" s="28"/>
      <c r="I22" s="28"/>
      <c r="J22" s="28"/>
      <c r="L22" s="28"/>
      <c r="M22" s="28"/>
    </row>
    <row r="23" spans="1:17" x14ac:dyDescent="0.2">
      <c r="A23" s="28"/>
      <c r="B23" s="28" t="s">
        <v>14</v>
      </c>
      <c r="C23" s="28"/>
      <c r="D23" s="28"/>
      <c r="E23" s="28"/>
      <c r="F23" s="48">
        <f>F138</f>
        <v>0.10294336873113465</v>
      </c>
      <c r="G23" s="48">
        <f>G138</f>
        <v>8.9552505542964095E-2</v>
      </c>
      <c r="H23" s="28"/>
      <c r="I23" s="28"/>
      <c r="J23" s="28"/>
      <c r="L23" s="28"/>
      <c r="M23" s="28"/>
    </row>
    <row r="24" spans="1:17" x14ac:dyDescent="0.2">
      <c r="A24" s="28"/>
      <c r="B24" s="28" t="s">
        <v>15</v>
      </c>
      <c r="C24" s="28"/>
      <c r="D24" s="28"/>
      <c r="E24" s="28"/>
      <c r="F24" s="48">
        <f>F132</f>
        <v>0.15328586478702441</v>
      </c>
      <c r="G24" s="48">
        <f>G132</f>
        <v>0.17026537669822972</v>
      </c>
      <c r="H24" s="28"/>
      <c r="I24" s="28"/>
      <c r="J24" s="28"/>
      <c r="L24" s="28"/>
      <c r="M24" s="28"/>
    </row>
    <row r="25" spans="1:17" x14ac:dyDescent="0.2">
      <c r="A25" s="28"/>
      <c r="B25" s="28"/>
      <c r="C25" s="28"/>
      <c r="D25" s="28"/>
      <c r="E25" s="28"/>
      <c r="F25" s="28"/>
      <c r="G25" s="28"/>
      <c r="I25" s="28"/>
      <c r="J25" s="28"/>
      <c r="L25" s="28"/>
    </row>
    <row r="26" spans="1:17" ht="15" x14ac:dyDescent="0.25">
      <c r="A26" s="112" t="s">
        <v>37</v>
      </c>
      <c r="L26" s="28"/>
    </row>
    <row r="27" spans="1:17" x14ac:dyDescent="0.2">
      <c r="B27" s="27" t="s">
        <v>12</v>
      </c>
      <c r="C27" s="41">
        <v>21298</v>
      </c>
      <c r="D27" s="41">
        <v>21144</v>
      </c>
      <c r="E27" s="41">
        <v>22412</v>
      </c>
      <c r="F27" s="41">
        <v>21944</v>
      </c>
      <c r="G27" s="41">
        <v>24677</v>
      </c>
      <c r="I27" s="41">
        <v>0</v>
      </c>
      <c r="J27" s="41">
        <v>0</v>
      </c>
      <c r="K27" s="52"/>
    </row>
    <row r="28" spans="1:17" s="38" customFormat="1" x14ac:dyDescent="0.2">
      <c r="A28" s="27"/>
      <c r="B28" s="27" t="s">
        <v>38</v>
      </c>
      <c r="C28" s="114"/>
      <c r="D28" s="114">
        <f t="shared" ref="D28:E28" si="2">D27/C27-1</f>
        <v>-7.2307258897549298E-3</v>
      </c>
      <c r="E28" s="114">
        <f t="shared" si="2"/>
        <v>5.9969731365872025E-2</v>
      </c>
      <c r="F28" s="114">
        <f>F27/E27-1</f>
        <v>-2.0881670533642649E-2</v>
      </c>
      <c r="G28" s="115">
        <f>G27/F27-1</f>
        <v>0.12454429456799132</v>
      </c>
      <c r="H28" s="20"/>
      <c r="I28" s="32"/>
      <c r="J28" s="22"/>
      <c r="K28" s="55"/>
      <c r="N28" s="27"/>
      <c r="O28" s="27"/>
      <c r="P28" s="27"/>
      <c r="Q28" s="27"/>
    </row>
    <row r="29" spans="1:17" x14ac:dyDescent="0.2">
      <c r="E29" s="18"/>
      <c r="F29" s="26"/>
      <c r="G29" s="56"/>
      <c r="H29" s="18"/>
      <c r="I29" s="32"/>
      <c r="J29" s="23"/>
      <c r="K29" s="57"/>
    </row>
    <row r="30" spans="1:17" x14ac:dyDescent="0.2">
      <c r="B30" s="27" t="s">
        <v>39</v>
      </c>
      <c r="E30" s="18"/>
      <c r="F30" s="42">
        <v>10744</v>
      </c>
      <c r="G30" s="42">
        <v>12459</v>
      </c>
      <c r="I30" s="42">
        <v>0</v>
      </c>
      <c r="J30" s="42">
        <v>0</v>
      </c>
      <c r="K30" s="52"/>
      <c r="L30" s="18"/>
    </row>
    <row r="31" spans="1:17" s="33" customFormat="1" x14ac:dyDescent="0.2">
      <c r="B31" s="33" t="s">
        <v>40</v>
      </c>
      <c r="E31" s="61"/>
      <c r="F31" s="33">
        <f>F27-F30</f>
        <v>11200</v>
      </c>
      <c r="G31" s="33">
        <f>G27-G30</f>
        <v>12218</v>
      </c>
      <c r="I31" s="85">
        <f>I27-I30</f>
        <v>0</v>
      </c>
      <c r="J31" s="85">
        <f>J27-J30</f>
        <v>0</v>
      </c>
      <c r="K31" s="52"/>
      <c r="L31" s="27"/>
      <c r="O31" s="27"/>
    </row>
    <row r="32" spans="1:17" x14ac:dyDescent="0.2">
      <c r="B32" s="27" t="s">
        <v>41</v>
      </c>
      <c r="E32" s="20"/>
      <c r="F32" s="114">
        <f>F31/F27</f>
        <v>0.51039008384979945</v>
      </c>
      <c r="G32" s="114">
        <f>G31/G27</f>
        <v>0.49511691048344614</v>
      </c>
      <c r="H32" s="20"/>
      <c r="I32" s="115" t="e">
        <f>I31/I27</f>
        <v>#DIV/0!</v>
      </c>
      <c r="J32" s="115" t="e">
        <f>J31/J27</f>
        <v>#DIV/0!</v>
      </c>
      <c r="K32" s="52"/>
    </row>
    <row r="33" spans="1:24" x14ac:dyDescent="0.2">
      <c r="E33" s="18"/>
      <c r="F33" s="26"/>
      <c r="G33" s="86"/>
      <c r="H33" s="25"/>
      <c r="I33" s="32"/>
      <c r="J33" s="23"/>
      <c r="K33" s="57"/>
      <c r="M33" s="33"/>
      <c r="N33" s="33"/>
    </row>
    <row r="34" spans="1:24" x14ac:dyDescent="0.2">
      <c r="B34" s="27" t="s">
        <v>42</v>
      </c>
      <c r="C34" s="33"/>
      <c r="D34" s="33"/>
      <c r="E34" s="18"/>
      <c r="F34" s="41">
        <v>2923</v>
      </c>
      <c r="G34" s="41">
        <v>3734</v>
      </c>
      <c r="H34" s="18"/>
      <c r="I34" s="51">
        <v>0</v>
      </c>
      <c r="J34" s="51">
        <v>0</v>
      </c>
      <c r="K34" s="52"/>
      <c r="L34" s="61"/>
      <c r="M34" s="33"/>
      <c r="N34" s="33"/>
      <c r="O34" s="33"/>
      <c r="P34" s="33"/>
    </row>
    <row r="35" spans="1:24" s="38" customFormat="1" x14ac:dyDescent="0.2">
      <c r="A35" s="27"/>
      <c r="B35" s="27" t="s">
        <v>43</v>
      </c>
      <c r="C35" s="27"/>
      <c r="D35" s="27"/>
      <c r="E35" s="20"/>
      <c r="F35" s="114">
        <f>F34/F27</f>
        <v>0.13320269777615748</v>
      </c>
      <c r="G35" s="115">
        <f>G34/G27</f>
        <v>0.15131498966649107</v>
      </c>
      <c r="H35" s="20"/>
      <c r="I35" s="115" t="e">
        <f>I34/I27</f>
        <v>#DIV/0!</v>
      </c>
      <c r="J35" s="115" t="e">
        <f>J34/J27</f>
        <v>#DIV/0!</v>
      </c>
      <c r="K35" s="87"/>
      <c r="O35" s="88"/>
      <c r="P35" s="88"/>
    </row>
    <row r="36" spans="1:24" x14ac:dyDescent="0.2">
      <c r="B36" s="36" t="s">
        <v>111</v>
      </c>
      <c r="C36" s="36"/>
      <c r="D36" s="36"/>
      <c r="E36" s="18"/>
      <c r="F36" s="51">
        <v>42</v>
      </c>
      <c r="G36" s="51">
        <v>60</v>
      </c>
      <c r="H36" s="18"/>
      <c r="I36" s="89">
        <v>0</v>
      </c>
      <c r="J36" s="51">
        <v>0</v>
      </c>
      <c r="K36" s="52"/>
      <c r="L36" s="18"/>
      <c r="M36" s="18"/>
    </row>
    <row r="37" spans="1:24" x14ac:dyDescent="0.2">
      <c r="B37" s="36" t="s">
        <v>112</v>
      </c>
      <c r="C37" s="36"/>
      <c r="D37" s="36"/>
      <c r="E37" s="18"/>
      <c r="F37" s="51">
        <v>99</v>
      </c>
      <c r="G37" s="51">
        <v>-192</v>
      </c>
      <c r="H37" s="18"/>
      <c r="I37" s="51">
        <v>0</v>
      </c>
      <c r="J37" s="51">
        <v>0</v>
      </c>
      <c r="K37" s="52"/>
      <c r="L37" s="18"/>
      <c r="M37" s="18"/>
    </row>
    <row r="38" spans="1:24" x14ac:dyDescent="0.2">
      <c r="B38" s="36" t="s">
        <v>113</v>
      </c>
      <c r="C38" s="36"/>
      <c r="D38" s="36"/>
      <c r="E38" s="18"/>
      <c r="F38" s="41">
        <v>0</v>
      </c>
      <c r="G38" s="41">
        <v>0</v>
      </c>
      <c r="H38" s="18"/>
      <c r="I38" s="51">
        <v>0</v>
      </c>
      <c r="J38" s="51">
        <v>0</v>
      </c>
      <c r="K38" s="52"/>
      <c r="L38" s="18"/>
      <c r="M38" s="18"/>
    </row>
    <row r="39" spans="1:24" x14ac:dyDescent="0.2">
      <c r="B39" s="36" t="s">
        <v>114</v>
      </c>
      <c r="C39" s="36"/>
      <c r="D39" s="36"/>
      <c r="E39" s="18"/>
      <c r="F39" s="51">
        <v>0</v>
      </c>
      <c r="G39" s="51">
        <v>0</v>
      </c>
      <c r="H39" s="18"/>
      <c r="I39" s="51">
        <v>0</v>
      </c>
      <c r="J39" s="51">
        <v>0</v>
      </c>
      <c r="K39" s="52"/>
      <c r="L39" s="18"/>
      <c r="M39" s="18"/>
    </row>
    <row r="40" spans="1:24" x14ac:dyDescent="0.2">
      <c r="B40" s="36" t="s">
        <v>115</v>
      </c>
      <c r="C40" s="65"/>
      <c r="D40" s="65"/>
      <c r="E40" s="18"/>
      <c r="F40" s="51">
        <v>0</v>
      </c>
      <c r="G40" s="51">
        <v>0</v>
      </c>
      <c r="H40" s="18"/>
      <c r="I40" s="51">
        <v>0</v>
      </c>
      <c r="J40" s="51">
        <v>0</v>
      </c>
      <c r="K40" s="52"/>
      <c r="L40" s="18"/>
      <c r="M40" s="18"/>
    </row>
    <row r="41" spans="1:24" x14ac:dyDescent="0.2">
      <c r="B41" s="65" t="s">
        <v>49</v>
      </c>
      <c r="C41" s="65"/>
      <c r="D41" s="65"/>
      <c r="E41" s="18"/>
      <c r="F41" s="51">
        <v>0</v>
      </c>
      <c r="G41" s="51">
        <v>0</v>
      </c>
      <c r="H41" s="18"/>
      <c r="I41" s="51">
        <v>0</v>
      </c>
      <c r="J41" s="51">
        <v>0</v>
      </c>
      <c r="K41" s="52"/>
      <c r="L41" s="18"/>
      <c r="M41" s="18"/>
    </row>
    <row r="42" spans="1:24" x14ac:dyDescent="0.2">
      <c r="B42" s="36" t="s">
        <v>50</v>
      </c>
      <c r="C42" s="36"/>
      <c r="D42" s="36"/>
      <c r="E42" s="18"/>
      <c r="F42" s="51">
        <v>0</v>
      </c>
      <c r="G42" s="51">
        <v>0</v>
      </c>
      <c r="H42" s="18"/>
      <c r="I42" s="51">
        <v>0</v>
      </c>
      <c r="J42" s="51">
        <v>0</v>
      </c>
      <c r="K42" s="52"/>
      <c r="L42" s="18"/>
      <c r="M42" s="18"/>
    </row>
    <row r="43" spans="1:24" x14ac:dyDescent="0.2">
      <c r="B43" s="36" t="s">
        <v>51</v>
      </c>
      <c r="C43" s="36"/>
      <c r="D43" s="36"/>
      <c r="E43" s="18"/>
      <c r="F43" s="51">
        <v>0</v>
      </c>
      <c r="G43" s="51">
        <v>0</v>
      </c>
      <c r="H43" s="18"/>
      <c r="I43" s="51">
        <v>0</v>
      </c>
      <c r="J43" s="51">
        <v>0</v>
      </c>
      <c r="K43" s="52"/>
      <c r="L43" s="18"/>
      <c r="M43" s="18"/>
    </row>
    <row r="44" spans="1:24" x14ac:dyDescent="0.2">
      <c r="B44" s="36" t="s">
        <v>52</v>
      </c>
      <c r="C44" s="36"/>
      <c r="D44" s="36"/>
      <c r="E44" s="18"/>
      <c r="F44" s="51">
        <v>0</v>
      </c>
      <c r="G44" s="51">
        <v>0</v>
      </c>
      <c r="H44" s="18"/>
      <c r="I44" s="51">
        <v>0</v>
      </c>
      <c r="J44" s="51">
        <v>0</v>
      </c>
      <c r="K44" s="52"/>
      <c r="L44" s="18"/>
      <c r="M44" s="18"/>
    </row>
    <row r="45" spans="1:24" x14ac:dyDescent="0.2">
      <c r="B45" s="36" t="s">
        <v>53</v>
      </c>
      <c r="C45" s="36"/>
      <c r="D45" s="36"/>
      <c r="E45" s="18"/>
      <c r="F45" s="51">
        <v>0</v>
      </c>
      <c r="G45" s="51">
        <v>0</v>
      </c>
      <c r="H45" s="18"/>
      <c r="I45" s="51">
        <v>0</v>
      </c>
      <c r="J45" s="51">
        <v>0</v>
      </c>
      <c r="K45" s="52"/>
      <c r="L45" s="18"/>
      <c r="M45" s="18"/>
    </row>
    <row r="46" spans="1:24" s="33" customFormat="1" x14ac:dyDescent="0.2">
      <c r="B46" s="33" t="s">
        <v>10</v>
      </c>
      <c r="E46" s="61"/>
      <c r="F46" s="33">
        <f>F34+SUM(F36:F45)</f>
        <v>3064</v>
      </c>
      <c r="G46" s="33">
        <f>G34+SUM(G36:G45)</f>
        <v>3602</v>
      </c>
      <c r="H46" s="61"/>
      <c r="I46" s="85">
        <f>I34+SUM(I36:I45)</f>
        <v>0</v>
      </c>
      <c r="J46" s="85">
        <f>J34+SUM(J36:J45)</f>
        <v>0</v>
      </c>
      <c r="K46" s="62"/>
      <c r="L46" s="18"/>
      <c r="M46" s="18"/>
    </row>
    <row r="47" spans="1:24" s="38" customFormat="1" x14ac:dyDescent="0.2">
      <c r="B47" s="38" t="s">
        <v>30</v>
      </c>
      <c r="E47" s="18"/>
      <c r="F47" s="53">
        <f>F46/F27</f>
        <v>0.13962814436748086</v>
      </c>
      <c r="G47" s="54">
        <f>G46/G27</f>
        <v>0.1459658791587308</v>
      </c>
      <c r="H47" s="18"/>
      <c r="I47" s="54" t="e">
        <f>I46/I27</f>
        <v>#DIV/0!</v>
      </c>
      <c r="J47" s="54" t="e">
        <f>J46/J27</f>
        <v>#DIV/0!</v>
      </c>
      <c r="K47" s="52"/>
      <c r="L47" s="18"/>
      <c r="M47" s="18"/>
      <c r="N47" s="27"/>
      <c r="O47" s="27"/>
      <c r="P47" s="27"/>
      <c r="Q47" s="27"/>
    </row>
    <row r="48" spans="1:24" x14ac:dyDescent="0.2">
      <c r="E48" s="18"/>
      <c r="F48" s="90"/>
      <c r="G48" s="86"/>
      <c r="H48" s="18"/>
      <c r="I48" s="23"/>
      <c r="J48" s="23"/>
      <c r="K48" s="57"/>
      <c r="L48" s="61"/>
      <c r="M48" s="61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2:24" x14ac:dyDescent="0.2">
      <c r="B49" s="27" t="s">
        <v>54</v>
      </c>
      <c r="E49" s="18"/>
      <c r="F49" s="91">
        <f>684</f>
        <v>684</v>
      </c>
      <c r="G49" s="91">
        <v>737</v>
      </c>
      <c r="H49" s="18"/>
      <c r="I49" s="51">
        <v>0</v>
      </c>
      <c r="J49" s="51">
        <v>0</v>
      </c>
      <c r="K49" s="52"/>
      <c r="L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2:24" x14ac:dyDescent="0.2">
      <c r="B50" s="27" t="s">
        <v>55</v>
      </c>
      <c r="E50" s="18"/>
      <c r="F50" s="91">
        <v>70</v>
      </c>
      <c r="G50" s="91">
        <v>93</v>
      </c>
      <c r="H50" s="18"/>
      <c r="I50" s="51">
        <v>0</v>
      </c>
      <c r="J50" s="51">
        <v>0</v>
      </c>
      <c r="K50" s="52"/>
      <c r="L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2:24" x14ac:dyDescent="0.2">
      <c r="B51" s="28" t="s">
        <v>56</v>
      </c>
      <c r="C51" s="28"/>
      <c r="D51" s="28"/>
      <c r="E51" s="18"/>
      <c r="F51" s="40">
        <f>SUM(F49:F50)</f>
        <v>754</v>
      </c>
      <c r="G51" s="40">
        <f>SUM(G49:G50)</f>
        <v>830</v>
      </c>
      <c r="H51" s="35"/>
      <c r="I51" s="92">
        <f>SUM(I49:I50)</f>
        <v>0</v>
      </c>
      <c r="J51" s="92">
        <f>SUM(J49:J50)</f>
        <v>0</v>
      </c>
      <c r="K51" s="52"/>
      <c r="L51" s="61"/>
      <c r="M51" s="33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2:24" s="33" customFormat="1" x14ac:dyDescent="0.2">
      <c r="B52" s="33" t="s">
        <v>9</v>
      </c>
      <c r="F52" s="33">
        <f>F46+F51</f>
        <v>3818</v>
      </c>
      <c r="G52" s="33">
        <f>G46+G51</f>
        <v>4432</v>
      </c>
      <c r="H52" s="61"/>
      <c r="I52" s="85">
        <f>I46+I51</f>
        <v>0</v>
      </c>
      <c r="J52" s="85">
        <f>J46+J51</f>
        <v>0</v>
      </c>
      <c r="K52" s="62"/>
      <c r="L52" s="61"/>
      <c r="M52" s="61"/>
      <c r="O52" s="18"/>
      <c r="P52" s="18"/>
      <c r="Q52" s="18"/>
      <c r="R52" s="61"/>
      <c r="S52" s="61"/>
      <c r="T52" s="61"/>
      <c r="U52" s="61"/>
      <c r="V52" s="61"/>
      <c r="W52" s="61"/>
      <c r="X52" s="61"/>
    </row>
    <row r="53" spans="2:24" s="38" customFormat="1" x14ac:dyDescent="0.2">
      <c r="B53" s="38" t="s">
        <v>29</v>
      </c>
      <c r="E53" s="18"/>
      <c r="F53" s="53">
        <f>F52/F27</f>
        <v>0.17398833394094057</v>
      </c>
      <c r="G53" s="54">
        <f>G52/G27</f>
        <v>0.1796004376544961</v>
      </c>
      <c r="H53" s="18"/>
      <c r="I53" s="54" t="e">
        <f>I52/I27</f>
        <v>#DIV/0!</v>
      </c>
      <c r="J53" s="54" t="e">
        <f>J52/J27</f>
        <v>#DIV/0!</v>
      </c>
      <c r="K53" s="52"/>
      <c r="L53" s="18"/>
      <c r="N53" s="27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2:24" x14ac:dyDescent="0.2">
      <c r="F54" s="26"/>
      <c r="G54" s="56"/>
      <c r="H54" s="18"/>
      <c r="I54" s="23"/>
      <c r="J54" s="23"/>
      <c r="K54" s="57"/>
      <c r="L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2:24" x14ac:dyDescent="0.2">
      <c r="B55" s="27" t="s">
        <v>57</v>
      </c>
      <c r="E55" s="18"/>
      <c r="F55" s="41">
        <v>2630</v>
      </c>
      <c r="G55" s="41">
        <v>3296</v>
      </c>
      <c r="H55" s="18"/>
      <c r="I55" s="60"/>
      <c r="J55" s="18"/>
      <c r="K55" s="52"/>
      <c r="L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2:24" x14ac:dyDescent="0.2">
      <c r="B56" s="27" t="s">
        <v>58</v>
      </c>
      <c r="E56" s="18"/>
      <c r="F56" s="41">
        <v>804</v>
      </c>
      <c r="G56" s="41">
        <v>842</v>
      </c>
      <c r="H56" s="18"/>
      <c r="I56" s="60"/>
      <c r="J56" s="18"/>
      <c r="K56" s="52"/>
      <c r="L56" s="18"/>
      <c r="R56" s="18"/>
      <c r="S56" s="18"/>
      <c r="T56" s="18"/>
      <c r="U56" s="18"/>
      <c r="V56" s="18"/>
      <c r="W56" s="18"/>
      <c r="X56" s="18"/>
    </row>
    <row r="57" spans="2:24" s="38" customFormat="1" x14ac:dyDescent="0.2">
      <c r="B57" s="27" t="s">
        <v>59</v>
      </c>
      <c r="C57" s="27"/>
      <c r="D57" s="27"/>
      <c r="E57" s="20"/>
      <c r="F57" s="114">
        <f>F56/F55</f>
        <v>0.30570342205323192</v>
      </c>
      <c r="G57" s="115">
        <f>G56/G55</f>
        <v>0.25546116504854371</v>
      </c>
      <c r="H57" s="20"/>
      <c r="I57" s="18"/>
      <c r="J57" s="18"/>
      <c r="K57" s="55"/>
      <c r="L57" s="20"/>
      <c r="N57" s="27"/>
      <c r="O57" s="27"/>
      <c r="P57" s="27"/>
      <c r="Q57" s="27"/>
      <c r="R57" s="20"/>
      <c r="S57" s="20"/>
      <c r="T57" s="20"/>
      <c r="U57" s="20"/>
      <c r="V57" s="20"/>
      <c r="W57" s="20"/>
      <c r="X57" s="20"/>
    </row>
    <row r="58" spans="2:24" x14ac:dyDescent="0.2">
      <c r="B58" s="27" t="s">
        <v>60</v>
      </c>
      <c r="E58" s="20"/>
      <c r="F58" s="93">
        <v>0.34429999999999999</v>
      </c>
      <c r="G58" s="93">
        <v>0.34429999999999999</v>
      </c>
      <c r="H58" s="18"/>
      <c r="I58" s="18"/>
      <c r="J58" s="18"/>
      <c r="K58" s="18"/>
      <c r="L58" s="18"/>
      <c r="M58" s="18"/>
      <c r="R58" s="18"/>
      <c r="S58" s="18"/>
      <c r="T58" s="18"/>
      <c r="U58" s="18"/>
      <c r="V58" s="18"/>
      <c r="W58" s="18"/>
      <c r="X58" s="18"/>
    </row>
    <row r="59" spans="2:24" x14ac:dyDescent="0.2">
      <c r="B59" s="27" t="s">
        <v>61</v>
      </c>
      <c r="E59" s="20"/>
      <c r="F59" s="93">
        <v>0</v>
      </c>
      <c r="G59" s="93">
        <v>0</v>
      </c>
      <c r="H59" s="18"/>
      <c r="I59" s="18"/>
      <c r="J59" s="18"/>
      <c r="K59" s="18"/>
      <c r="L59" s="18"/>
      <c r="M59" s="18"/>
      <c r="R59" s="18"/>
      <c r="S59" s="18"/>
      <c r="T59" s="18"/>
      <c r="U59" s="18"/>
      <c r="V59" s="18"/>
      <c r="W59" s="18"/>
      <c r="X59" s="18"/>
    </row>
    <row r="60" spans="2:24" s="71" customFormat="1" x14ac:dyDescent="0.2">
      <c r="B60" s="33" t="s">
        <v>62</v>
      </c>
      <c r="C60" s="33"/>
      <c r="D60" s="33"/>
      <c r="E60" s="61"/>
      <c r="F60" s="117">
        <f>SUM(F58:F59)</f>
        <v>0.34429999999999999</v>
      </c>
      <c r="G60" s="116">
        <f>SUM(G58:G59)</f>
        <v>0.34429999999999999</v>
      </c>
      <c r="H60" s="61"/>
      <c r="I60" s="18"/>
      <c r="J60" s="18"/>
      <c r="K60" s="72"/>
      <c r="L60" s="61"/>
      <c r="N60" s="33"/>
      <c r="O60" s="33"/>
      <c r="P60" s="33"/>
      <c r="Q60" s="33"/>
      <c r="R60" s="61"/>
      <c r="S60" s="61"/>
      <c r="T60" s="61"/>
      <c r="U60" s="61"/>
      <c r="V60" s="61"/>
      <c r="W60" s="61"/>
      <c r="X60" s="61"/>
    </row>
    <row r="61" spans="2:24" x14ac:dyDescent="0.2">
      <c r="E61" s="20"/>
      <c r="F61" s="114"/>
      <c r="G61" s="118"/>
      <c r="H61" s="18"/>
      <c r="I61" s="18"/>
      <c r="J61" s="18"/>
      <c r="K61" s="74"/>
      <c r="L61" s="18"/>
      <c r="M61" s="18"/>
      <c r="R61" s="18"/>
      <c r="S61" s="18"/>
      <c r="T61" s="18"/>
      <c r="U61" s="18"/>
      <c r="V61" s="18"/>
      <c r="W61" s="18"/>
      <c r="X61" s="18"/>
    </row>
    <row r="62" spans="2:24" x14ac:dyDescent="0.2">
      <c r="B62" s="27" t="s">
        <v>63</v>
      </c>
      <c r="E62" s="20"/>
      <c r="F62" s="40">
        <f>F46*(1-F57)</f>
        <v>2127.3247148288974</v>
      </c>
      <c r="G62" s="40">
        <f>G46*(1-G57)</f>
        <v>2681.8288834951459</v>
      </c>
      <c r="H62" s="18"/>
      <c r="I62" s="18"/>
      <c r="J62" s="18"/>
      <c r="K62" s="74"/>
      <c r="L62" s="18"/>
      <c r="R62" s="18"/>
      <c r="S62" s="18"/>
      <c r="T62" s="18"/>
      <c r="U62" s="18"/>
      <c r="V62" s="18"/>
      <c r="W62" s="18"/>
      <c r="X62" s="18"/>
    </row>
    <row r="63" spans="2:24" x14ac:dyDescent="0.2">
      <c r="E63" s="20"/>
      <c r="F63" s="119"/>
      <c r="G63" s="119"/>
      <c r="H63" s="18"/>
      <c r="K63" s="74"/>
      <c r="L63" s="18"/>
      <c r="R63" s="18"/>
      <c r="S63" s="18"/>
      <c r="T63" s="18"/>
      <c r="U63" s="18"/>
      <c r="V63" s="18"/>
      <c r="W63" s="18"/>
      <c r="X63" s="18"/>
    </row>
    <row r="64" spans="2:24" x14ac:dyDescent="0.2">
      <c r="B64" s="27" t="s">
        <v>64</v>
      </c>
      <c r="C64" s="33"/>
      <c r="D64" s="33"/>
      <c r="E64" s="20"/>
      <c r="F64" s="41">
        <v>1827</v>
      </c>
      <c r="G64" s="41">
        <v>2563</v>
      </c>
      <c r="K64" s="59"/>
      <c r="L64" s="18"/>
      <c r="R64" s="18"/>
      <c r="S64" s="18"/>
      <c r="T64" s="18"/>
      <c r="U64" s="18"/>
      <c r="V64" s="18"/>
      <c r="W64" s="18"/>
      <c r="X64" s="18"/>
    </row>
    <row r="65" spans="2:24" s="38" customFormat="1" x14ac:dyDescent="0.2">
      <c r="B65" s="27" t="s">
        <v>65</v>
      </c>
      <c r="C65" s="27"/>
      <c r="D65" s="27"/>
      <c r="E65" s="20"/>
      <c r="F65" s="114">
        <f>F64/F27</f>
        <v>8.3257382427998544E-2</v>
      </c>
      <c r="G65" s="115">
        <f>G64/G27</f>
        <v>0.10386189569234509</v>
      </c>
      <c r="K65" s="55"/>
      <c r="L65" s="18"/>
      <c r="N65" s="27"/>
      <c r="O65" s="27"/>
      <c r="P65" s="27"/>
      <c r="Q65" s="27"/>
      <c r="R65" s="18"/>
      <c r="S65" s="18"/>
      <c r="T65" s="18"/>
      <c r="U65" s="18"/>
      <c r="V65" s="18"/>
      <c r="W65" s="18"/>
      <c r="X65" s="18"/>
    </row>
    <row r="66" spans="2:24" x14ac:dyDescent="0.2">
      <c r="B66" s="27" t="str">
        <f>B36</f>
        <v>Restructuring costs</v>
      </c>
      <c r="C66" s="36"/>
      <c r="D66" s="36"/>
      <c r="E66" s="20"/>
      <c r="F66" s="94">
        <f>F36*(1-F$60)</f>
        <v>27.539399999999997</v>
      </c>
      <c r="G66" s="94">
        <f>G36*(1-G$60)</f>
        <v>39.341999999999999</v>
      </c>
      <c r="K66" s="59"/>
      <c r="L66" s="18"/>
      <c r="M66" s="95"/>
      <c r="R66" s="18"/>
      <c r="S66" s="18"/>
      <c r="T66" s="18"/>
      <c r="U66" s="18"/>
      <c r="V66" s="18"/>
      <c r="W66" s="18"/>
      <c r="X66" s="18"/>
    </row>
    <row r="67" spans="2:24" x14ac:dyDescent="0.2">
      <c r="B67" s="27" t="str">
        <f>B37</f>
        <v>Other operating (income) / expense</v>
      </c>
      <c r="C67" s="36"/>
      <c r="D67" s="36"/>
      <c r="E67" s="20"/>
      <c r="F67" s="94">
        <f>F37*(1-F$60)</f>
        <v>64.914299999999997</v>
      </c>
      <c r="G67" s="94">
        <f>G37*(1-G$60)</f>
        <v>-125.89439999999999</v>
      </c>
      <c r="K67" s="29"/>
      <c r="L67" s="18"/>
      <c r="M67" s="28"/>
    </row>
    <row r="68" spans="2:24" x14ac:dyDescent="0.2">
      <c r="B68" s="36" t="s">
        <v>116</v>
      </c>
      <c r="C68" s="36"/>
      <c r="D68" s="36"/>
      <c r="E68" s="20"/>
      <c r="F68" s="51">
        <v>98</v>
      </c>
      <c r="G68" s="51">
        <v>0</v>
      </c>
      <c r="K68" s="96"/>
      <c r="L68" s="18"/>
      <c r="M68" s="28"/>
    </row>
    <row r="69" spans="2:24" x14ac:dyDescent="0.2">
      <c r="B69" s="36" t="s">
        <v>117</v>
      </c>
      <c r="C69" s="36"/>
      <c r="D69" s="36"/>
      <c r="E69" s="20"/>
      <c r="F69" s="51">
        <v>5</v>
      </c>
      <c r="G69" s="51">
        <v>5</v>
      </c>
      <c r="K69" s="97"/>
      <c r="L69" s="18"/>
      <c r="M69" s="28"/>
    </row>
    <row r="70" spans="2:24" x14ac:dyDescent="0.2">
      <c r="B70" s="36" t="s">
        <v>115</v>
      </c>
      <c r="C70" s="36"/>
      <c r="D70" s="36"/>
      <c r="E70" s="20"/>
      <c r="F70" s="51">
        <v>0</v>
      </c>
      <c r="G70" s="51">
        <v>0</v>
      </c>
      <c r="H70" s="18"/>
      <c r="K70" s="52"/>
      <c r="L70" s="18"/>
      <c r="M70" s="28"/>
    </row>
    <row r="71" spans="2:24" x14ac:dyDescent="0.2">
      <c r="B71" s="36" t="s">
        <v>49</v>
      </c>
      <c r="C71" s="36"/>
      <c r="D71" s="36"/>
      <c r="E71" s="20"/>
      <c r="F71" s="51">
        <v>0</v>
      </c>
      <c r="G71" s="51">
        <v>0</v>
      </c>
      <c r="H71" s="18"/>
      <c r="K71" s="29"/>
      <c r="L71" s="18"/>
      <c r="M71" s="28"/>
    </row>
    <row r="72" spans="2:24" x14ac:dyDescent="0.2">
      <c r="B72" s="36" t="s">
        <v>50</v>
      </c>
      <c r="C72" s="36"/>
      <c r="D72" s="36"/>
      <c r="E72" s="20"/>
      <c r="F72" s="51">
        <v>0</v>
      </c>
      <c r="G72" s="51">
        <v>0</v>
      </c>
      <c r="H72" s="18"/>
      <c r="I72" s="18"/>
      <c r="J72" s="18"/>
      <c r="K72" s="29"/>
      <c r="L72" s="18"/>
      <c r="M72" s="28"/>
    </row>
    <row r="73" spans="2:24" x14ac:dyDescent="0.2">
      <c r="B73" s="36" t="s">
        <v>51</v>
      </c>
      <c r="C73" s="36"/>
      <c r="D73" s="36"/>
      <c r="E73" s="20"/>
      <c r="F73" s="51">
        <v>0</v>
      </c>
      <c r="G73" s="51">
        <v>0</v>
      </c>
      <c r="H73" s="18"/>
      <c r="I73" s="18"/>
      <c r="J73" s="18"/>
      <c r="K73" s="29"/>
      <c r="L73" s="18"/>
      <c r="M73" s="28"/>
    </row>
    <row r="74" spans="2:24" x14ac:dyDescent="0.2">
      <c r="B74" s="36" t="s">
        <v>52</v>
      </c>
      <c r="C74" s="36"/>
      <c r="D74" s="36"/>
      <c r="E74" s="20"/>
      <c r="F74" s="51">
        <v>0</v>
      </c>
      <c r="G74" s="51">
        <v>0</v>
      </c>
      <c r="I74" s="18"/>
      <c r="J74" s="18"/>
      <c r="K74" s="29"/>
      <c r="L74" s="18"/>
      <c r="M74" s="28"/>
    </row>
    <row r="75" spans="2:24" x14ac:dyDescent="0.2">
      <c r="B75" s="36" t="s">
        <v>53</v>
      </c>
      <c r="C75" s="36"/>
      <c r="D75" s="36"/>
      <c r="E75" s="20"/>
      <c r="F75" s="51">
        <v>0</v>
      </c>
      <c r="G75" s="51">
        <v>0</v>
      </c>
      <c r="I75" s="18"/>
      <c r="J75" s="18"/>
      <c r="K75" s="29"/>
      <c r="L75" s="18"/>
      <c r="M75" s="28"/>
    </row>
    <row r="76" spans="2:24" s="33" customFormat="1" x14ac:dyDescent="0.2">
      <c r="B76" s="33" t="s">
        <v>67</v>
      </c>
      <c r="E76" s="61"/>
      <c r="F76" s="33">
        <f>F64+SUM(F66:F75)</f>
        <v>2022.4537</v>
      </c>
      <c r="G76" s="33">
        <f>G64+SUM(G66:G75)</f>
        <v>2481.4476</v>
      </c>
      <c r="I76" s="18"/>
      <c r="J76" s="18"/>
      <c r="K76" s="37"/>
      <c r="L76" s="61"/>
      <c r="M76" s="37"/>
    </row>
    <row r="77" spans="2:24" s="38" customFormat="1" x14ac:dyDescent="0.2">
      <c r="B77" s="27" t="s">
        <v>68</v>
      </c>
      <c r="C77" s="27"/>
      <c r="D77" s="27"/>
      <c r="E77" s="20"/>
      <c r="F77" s="114">
        <f>F76/F27</f>
        <v>9.2164313707619391E-2</v>
      </c>
      <c r="G77" s="115">
        <f>G76/G27</f>
        <v>0.10055710175467034</v>
      </c>
      <c r="I77" s="18"/>
      <c r="J77" s="18"/>
      <c r="K77" s="55"/>
      <c r="L77" s="18"/>
      <c r="N77" s="27"/>
      <c r="O77" s="27"/>
      <c r="P77" s="27"/>
      <c r="Q77" s="27"/>
    </row>
    <row r="78" spans="2:24" x14ac:dyDescent="0.2">
      <c r="E78" s="20"/>
      <c r="F78" s="114"/>
      <c r="G78" s="115"/>
      <c r="I78" s="18"/>
      <c r="J78" s="18"/>
      <c r="K78" s="57"/>
      <c r="L78" s="18"/>
    </row>
    <row r="79" spans="2:24" x14ac:dyDescent="0.2">
      <c r="B79" s="27" t="s">
        <v>118</v>
      </c>
      <c r="E79" s="20"/>
      <c r="F79" s="51">
        <v>107</v>
      </c>
      <c r="G79" s="51">
        <v>110</v>
      </c>
      <c r="I79" s="18"/>
      <c r="J79" s="18"/>
      <c r="K79" s="57"/>
      <c r="L79" s="18"/>
    </row>
    <row r="80" spans="2:24" x14ac:dyDescent="0.2">
      <c r="B80" s="33" t="s">
        <v>119</v>
      </c>
      <c r="E80" s="20"/>
      <c r="F80" s="98">
        <f>F76-F79</f>
        <v>1915.4537</v>
      </c>
      <c r="G80" s="98">
        <f>G76-G79</f>
        <v>2371.4476</v>
      </c>
      <c r="I80" s="18"/>
      <c r="J80" s="18"/>
      <c r="K80" s="57"/>
      <c r="L80" s="18"/>
    </row>
    <row r="81" spans="1:12" x14ac:dyDescent="0.2">
      <c r="E81" s="20"/>
      <c r="F81" s="114"/>
      <c r="G81" s="115"/>
      <c r="I81" s="18"/>
      <c r="J81" s="18"/>
      <c r="K81" s="57"/>
      <c r="L81" s="18"/>
    </row>
    <row r="82" spans="1:12" x14ac:dyDescent="0.2">
      <c r="B82" s="27" t="s">
        <v>69</v>
      </c>
      <c r="E82" s="20"/>
      <c r="F82" s="120">
        <v>616.44204100000002</v>
      </c>
      <c r="G82" s="120">
        <v>625.98663599999998</v>
      </c>
      <c r="I82" s="18"/>
      <c r="K82" s="59"/>
      <c r="L82" s="18"/>
    </row>
    <row r="83" spans="1:12" x14ac:dyDescent="0.2">
      <c r="B83" s="32" t="s">
        <v>70</v>
      </c>
      <c r="E83" s="20"/>
      <c r="F83" s="24">
        <f>F$80/F82</f>
        <v>3.1072729836737398</v>
      </c>
      <c r="G83" s="24">
        <f>G$80/G82</f>
        <v>3.7883358263897509</v>
      </c>
      <c r="I83" s="25"/>
      <c r="J83" s="18"/>
      <c r="K83" s="75"/>
      <c r="L83" s="18"/>
    </row>
    <row r="84" spans="1:12" x14ac:dyDescent="0.2">
      <c r="B84" s="27" t="s">
        <v>71</v>
      </c>
      <c r="E84" s="20"/>
      <c r="F84" s="120">
        <v>616.70061799999996</v>
      </c>
      <c r="G84" s="120">
        <v>627.12126599999999</v>
      </c>
      <c r="I84" s="25"/>
      <c r="J84" s="18"/>
      <c r="K84" s="59"/>
      <c r="L84" s="18"/>
    </row>
    <row r="85" spans="1:12" x14ac:dyDescent="0.2">
      <c r="B85" s="27" t="s">
        <v>18</v>
      </c>
      <c r="E85" s="20"/>
      <c r="F85" s="31">
        <f>F$80/F84</f>
        <v>3.1059701321719775</v>
      </c>
      <c r="G85" s="31">
        <f>G$80/G84</f>
        <v>3.7814817142558836</v>
      </c>
      <c r="I85" s="25"/>
      <c r="J85" s="18"/>
      <c r="K85" s="75"/>
      <c r="L85" s="18"/>
    </row>
    <row r="86" spans="1:12" x14ac:dyDescent="0.2">
      <c r="E86" s="20"/>
      <c r="F86" s="31"/>
      <c r="G86" s="24"/>
      <c r="I86" s="18"/>
      <c r="J86" s="18"/>
      <c r="K86" s="75"/>
      <c r="L86" s="18"/>
    </row>
    <row r="87" spans="1:12" ht="15" x14ac:dyDescent="0.25">
      <c r="A87" s="112" t="s">
        <v>72</v>
      </c>
      <c r="E87" s="20"/>
      <c r="F87" s="31"/>
      <c r="G87" s="24"/>
      <c r="I87" s="18"/>
      <c r="J87" s="18"/>
      <c r="K87" s="75"/>
      <c r="L87" s="18"/>
    </row>
    <row r="88" spans="1:12" x14ac:dyDescent="0.2">
      <c r="A88" s="33"/>
      <c r="B88" s="27" t="s">
        <v>73</v>
      </c>
      <c r="E88" s="20"/>
      <c r="F88" s="41">
        <v>19113</v>
      </c>
      <c r="G88" s="41">
        <v>9641</v>
      </c>
      <c r="I88" s="18"/>
      <c r="J88" s="18"/>
      <c r="K88" s="75"/>
      <c r="L88" s="18"/>
    </row>
    <row r="89" spans="1:12" x14ac:dyDescent="0.2">
      <c r="A89" s="33"/>
      <c r="B89" s="27" t="s">
        <v>74</v>
      </c>
      <c r="E89" s="20"/>
      <c r="F89" s="41">
        <v>9050</v>
      </c>
      <c r="G89" s="41">
        <v>10411</v>
      </c>
      <c r="I89" s="18"/>
      <c r="J89" s="18"/>
      <c r="K89" s="75"/>
      <c r="L89" s="18"/>
    </row>
    <row r="90" spans="1:12" s="33" customFormat="1" x14ac:dyDescent="0.2">
      <c r="B90" s="33" t="s">
        <v>75</v>
      </c>
      <c r="E90" s="61"/>
      <c r="F90" s="33">
        <f>F88-F89</f>
        <v>10063</v>
      </c>
      <c r="G90" s="33">
        <f>G88-G89</f>
        <v>-770</v>
      </c>
      <c r="I90" s="18"/>
      <c r="J90" s="18"/>
      <c r="K90" s="76"/>
      <c r="L90" s="61"/>
    </row>
    <row r="91" spans="1:12" x14ac:dyDescent="0.2">
      <c r="A91" s="33"/>
      <c r="E91" s="20"/>
      <c r="F91" s="31"/>
      <c r="G91" s="24"/>
      <c r="I91" s="18"/>
      <c r="J91" s="18"/>
      <c r="K91" s="75"/>
      <c r="L91" s="18"/>
    </row>
    <row r="92" spans="1:12" x14ac:dyDescent="0.2">
      <c r="B92" s="36" t="s">
        <v>77</v>
      </c>
      <c r="E92" s="20"/>
      <c r="F92" s="41">
        <v>1380</v>
      </c>
      <c r="G92" s="41">
        <v>1668</v>
      </c>
      <c r="I92" s="18"/>
      <c r="J92" s="18"/>
      <c r="K92" s="59"/>
      <c r="L92" s="18"/>
    </row>
    <row r="93" spans="1:12" x14ac:dyDescent="0.2">
      <c r="B93" s="36" t="s">
        <v>120</v>
      </c>
      <c r="E93" s="20"/>
      <c r="F93" s="41">
        <v>2524</v>
      </c>
      <c r="G93" s="41">
        <v>2794</v>
      </c>
      <c r="I93" s="18"/>
      <c r="J93" s="18"/>
      <c r="K93" s="59"/>
      <c r="L93" s="18"/>
    </row>
    <row r="94" spans="1:12" x14ac:dyDescent="0.2">
      <c r="B94" s="36" t="s">
        <v>78</v>
      </c>
      <c r="E94" s="20"/>
      <c r="F94" s="41">
        <v>1061</v>
      </c>
      <c r="G94" s="41">
        <v>1046</v>
      </c>
      <c r="I94" s="18" t="s">
        <v>121</v>
      </c>
      <c r="J94" s="18"/>
      <c r="K94" s="59"/>
      <c r="L94" s="18"/>
    </row>
    <row r="95" spans="1:12" x14ac:dyDescent="0.2">
      <c r="B95" s="36" t="s">
        <v>79</v>
      </c>
      <c r="E95" s="20"/>
      <c r="F95" s="41">
        <v>0</v>
      </c>
      <c r="G95" s="41">
        <v>0</v>
      </c>
      <c r="I95" s="18"/>
      <c r="J95" s="18" t="s">
        <v>121</v>
      </c>
      <c r="K95" s="59"/>
      <c r="L95" s="18"/>
    </row>
    <row r="96" spans="1:12" x14ac:dyDescent="0.2">
      <c r="B96" s="36" t="s">
        <v>80</v>
      </c>
      <c r="E96" s="20"/>
      <c r="F96" s="41">
        <v>0</v>
      </c>
      <c r="G96" s="41">
        <v>0</v>
      </c>
      <c r="I96" s="18"/>
      <c r="J96" s="18"/>
      <c r="K96" s="59"/>
      <c r="L96" s="18"/>
    </row>
    <row r="97" spans="1:17" x14ac:dyDescent="0.2">
      <c r="B97" s="36" t="s">
        <v>122</v>
      </c>
      <c r="E97" s="20"/>
      <c r="F97" s="41">
        <v>3772</v>
      </c>
      <c r="G97" s="41">
        <v>3904</v>
      </c>
      <c r="I97" s="18" t="s">
        <v>121</v>
      </c>
      <c r="J97" s="18"/>
      <c r="K97" s="59"/>
      <c r="L97" s="18"/>
    </row>
    <row r="98" spans="1:17" x14ac:dyDescent="0.2">
      <c r="B98" s="36" t="s">
        <v>123</v>
      </c>
      <c r="E98" s="20"/>
      <c r="F98" s="41">
        <v>2741</v>
      </c>
      <c r="G98" s="41">
        <v>2716</v>
      </c>
      <c r="I98" s="18" t="s">
        <v>121</v>
      </c>
      <c r="J98" s="18"/>
      <c r="K98" s="59"/>
      <c r="L98" s="18"/>
    </row>
    <row r="99" spans="1:17" x14ac:dyDescent="0.2">
      <c r="B99" s="36" t="s">
        <v>124</v>
      </c>
      <c r="E99" s="20"/>
      <c r="F99" s="41">
        <v>0</v>
      </c>
      <c r="G99" s="41">
        <v>0</v>
      </c>
      <c r="I99" s="18"/>
      <c r="J99" s="18"/>
      <c r="K99" s="59"/>
      <c r="L99" s="18"/>
    </row>
    <row r="100" spans="1:17" x14ac:dyDescent="0.2">
      <c r="B100" s="36" t="s">
        <v>84</v>
      </c>
      <c r="E100" s="20"/>
      <c r="F100" s="41">
        <v>0</v>
      </c>
      <c r="G100" s="41">
        <v>0</v>
      </c>
      <c r="I100" s="18"/>
      <c r="J100" s="18"/>
      <c r="K100" s="59"/>
      <c r="L100" s="18"/>
    </row>
    <row r="101" spans="1:17" x14ac:dyDescent="0.2">
      <c r="B101" s="36" t="s">
        <v>85</v>
      </c>
      <c r="E101" s="20"/>
      <c r="F101" s="41">
        <v>0</v>
      </c>
      <c r="G101" s="41">
        <v>0</v>
      </c>
      <c r="I101" s="18"/>
      <c r="J101" s="18"/>
      <c r="K101" s="59"/>
      <c r="L101" s="18"/>
    </row>
    <row r="102" spans="1:17" s="33" customFormat="1" x14ac:dyDescent="0.2">
      <c r="B102" s="33" t="s">
        <v>86</v>
      </c>
      <c r="E102" s="61"/>
      <c r="F102" s="33">
        <f>SUM(F92:F96)-SUM(F97:F101)</f>
        <v>-1548</v>
      </c>
      <c r="G102" s="33">
        <f>SUM(G92:G96)-SUM(G97:G101)</f>
        <v>-1112</v>
      </c>
      <c r="I102" s="18"/>
      <c r="J102" s="18"/>
      <c r="K102" s="77"/>
      <c r="L102" s="61"/>
    </row>
    <row r="103" spans="1:17" s="38" customFormat="1" x14ac:dyDescent="0.2">
      <c r="B103" s="27" t="s">
        <v>87</v>
      </c>
      <c r="C103" s="27"/>
      <c r="D103" s="27"/>
      <c r="E103" s="20"/>
      <c r="F103" s="115">
        <f>F102/F27</f>
        <v>-7.0543200874954429E-2</v>
      </c>
      <c r="G103" s="115">
        <f>G102/G27</f>
        <v>-4.5062203671434937E-2</v>
      </c>
      <c r="I103" s="18"/>
      <c r="J103" s="18"/>
      <c r="K103" s="55"/>
      <c r="L103" s="18"/>
      <c r="N103" s="27"/>
      <c r="O103" s="27"/>
      <c r="P103" s="27"/>
      <c r="Q103" s="27"/>
    </row>
    <row r="104" spans="1:17" s="38" customFormat="1" x14ac:dyDescent="0.2">
      <c r="B104" s="27" t="s">
        <v>88</v>
      </c>
      <c r="C104" s="27"/>
      <c r="D104" s="27"/>
      <c r="E104" s="20"/>
      <c r="F104" s="32">
        <f>F93/F27*365</f>
        <v>41.982318629238065</v>
      </c>
      <c r="G104" s="32">
        <f>G93/G27*365</f>
        <v>41.326336264537829</v>
      </c>
      <c r="I104" s="18"/>
      <c r="J104" s="18"/>
      <c r="K104" s="78"/>
      <c r="L104" s="19"/>
    </row>
    <row r="105" spans="1:17" s="38" customFormat="1" x14ac:dyDescent="0.2">
      <c r="B105" s="27" t="s">
        <v>89</v>
      </c>
      <c r="C105" s="27"/>
      <c r="D105" s="27"/>
      <c r="E105" s="20"/>
      <c r="F105" s="27">
        <f>F92/F30*365</f>
        <v>46.881980640357405</v>
      </c>
      <c r="G105" s="27">
        <f>G92/G30*365</f>
        <v>48.865880086684328</v>
      </c>
      <c r="I105" s="18"/>
      <c r="J105" s="18"/>
      <c r="K105" s="78"/>
      <c r="L105" s="19"/>
    </row>
    <row r="106" spans="1:17" s="38" customFormat="1" x14ac:dyDescent="0.2">
      <c r="B106" s="27" t="s">
        <v>90</v>
      </c>
      <c r="C106" s="27"/>
      <c r="D106" s="27"/>
      <c r="E106" s="20"/>
      <c r="F106" s="27">
        <f>F97/F30*365</f>
        <v>128.14408041697692</v>
      </c>
      <c r="G106" s="27">
        <f>G97/G30*365</f>
        <v>114.37193996307889</v>
      </c>
      <c r="I106" s="18"/>
      <c r="J106" s="18"/>
      <c r="K106" s="78"/>
      <c r="L106" s="19"/>
    </row>
    <row r="107" spans="1:17" x14ac:dyDescent="0.2">
      <c r="E107" s="20"/>
      <c r="G107" s="32"/>
      <c r="I107" s="18"/>
      <c r="J107" s="18"/>
      <c r="K107" s="29"/>
      <c r="L107" s="18"/>
    </row>
    <row r="108" spans="1:17" ht="15" x14ac:dyDescent="0.25">
      <c r="A108" s="112" t="s">
        <v>91</v>
      </c>
      <c r="E108" s="20"/>
      <c r="G108" s="29"/>
      <c r="I108" s="18"/>
      <c r="J108" s="18"/>
      <c r="K108" s="18"/>
      <c r="L108" s="18"/>
    </row>
    <row r="109" spans="1:17" x14ac:dyDescent="0.2">
      <c r="B109" s="27" t="s">
        <v>92</v>
      </c>
      <c r="E109" s="20"/>
      <c r="F109" s="41">
        <v>5036</v>
      </c>
      <c r="G109" s="41">
        <v>6005</v>
      </c>
      <c r="I109" s="18"/>
      <c r="J109" s="18"/>
      <c r="K109" s="59"/>
      <c r="L109" s="18"/>
    </row>
    <row r="110" spans="1:17" s="38" customFormat="1" x14ac:dyDescent="0.2">
      <c r="B110" s="27" t="s">
        <v>93</v>
      </c>
      <c r="C110" s="27"/>
      <c r="D110" s="27"/>
      <c r="E110" s="20"/>
      <c r="F110" s="114">
        <f>F109/F27</f>
        <v>0.22949325555960626</v>
      </c>
      <c r="G110" s="115">
        <f>G109/G27</f>
        <v>0.24334400453863922</v>
      </c>
      <c r="I110" s="18"/>
      <c r="J110" s="18"/>
      <c r="K110" s="18"/>
      <c r="L110" s="18"/>
      <c r="N110" s="27"/>
      <c r="O110" s="27"/>
      <c r="P110" s="27"/>
      <c r="Q110" s="27"/>
    </row>
    <row r="111" spans="1:17" x14ac:dyDescent="0.2">
      <c r="B111" s="27" t="s">
        <v>94</v>
      </c>
      <c r="E111" s="20"/>
      <c r="F111" s="41">
        <f>974</f>
        <v>974</v>
      </c>
      <c r="G111" s="41">
        <v>1018</v>
      </c>
      <c r="H111" s="27" t="s">
        <v>121</v>
      </c>
      <c r="I111" s="18"/>
      <c r="L111" s="18"/>
    </row>
    <row r="112" spans="1:17" s="38" customFormat="1" x14ac:dyDescent="0.2">
      <c r="B112" s="27" t="s">
        <v>95</v>
      </c>
      <c r="C112" s="27"/>
      <c r="D112" s="27"/>
      <c r="E112" s="20"/>
      <c r="F112" s="31">
        <f>F111/F49</f>
        <v>1.4239766081871346</v>
      </c>
      <c r="G112" s="31">
        <f>G111/G49</f>
        <v>1.3812754409769334</v>
      </c>
      <c r="I112" s="18"/>
      <c r="J112" s="18"/>
      <c r="K112" s="59"/>
      <c r="L112" s="18"/>
      <c r="N112" s="27"/>
      <c r="O112" s="27"/>
      <c r="P112" s="27"/>
      <c r="Q112" s="27"/>
    </row>
    <row r="113" spans="1:12" x14ac:dyDescent="0.2">
      <c r="E113" s="20"/>
      <c r="F113" s="31"/>
      <c r="G113" s="24"/>
      <c r="I113" s="18"/>
      <c r="J113" s="18"/>
      <c r="K113" s="75"/>
      <c r="L113" s="18"/>
    </row>
    <row r="114" spans="1:12" ht="15" x14ac:dyDescent="0.25">
      <c r="A114" s="112" t="s">
        <v>96</v>
      </c>
      <c r="E114" s="20"/>
      <c r="F114" s="31"/>
      <c r="G114" s="24"/>
      <c r="I114" s="18"/>
      <c r="J114" s="18"/>
      <c r="K114" s="18"/>
      <c r="L114" s="18"/>
    </row>
    <row r="115" spans="1:12" x14ac:dyDescent="0.2">
      <c r="B115" s="63" t="s">
        <v>125</v>
      </c>
      <c r="E115" s="20"/>
      <c r="F115" s="51">
        <v>2510</v>
      </c>
      <c r="G115" s="51">
        <v>3792</v>
      </c>
      <c r="K115" s="59"/>
      <c r="L115" s="18"/>
    </row>
    <row r="116" spans="1:12" x14ac:dyDescent="0.2">
      <c r="B116" s="63" t="s">
        <v>126</v>
      </c>
      <c r="E116" s="20"/>
      <c r="F116" s="51">
        <v>18771</v>
      </c>
      <c r="G116" s="51">
        <v>15716</v>
      </c>
      <c r="K116" s="59"/>
      <c r="L116" s="18"/>
    </row>
    <row r="117" spans="1:12" x14ac:dyDescent="0.2">
      <c r="B117" s="36" t="s">
        <v>127</v>
      </c>
      <c r="E117" s="20"/>
      <c r="F117" s="51">
        <v>-148</v>
      </c>
      <c r="G117" s="51">
        <v>-16</v>
      </c>
      <c r="K117" s="59"/>
      <c r="L117" s="18"/>
    </row>
    <row r="118" spans="1:12" x14ac:dyDescent="0.2">
      <c r="B118" s="36" t="s">
        <v>128</v>
      </c>
      <c r="E118" s="20"/>
      <c r="F118" s="51">
        <f>-419+377</f>
        <v>-42</v>
      </c>
      <c r="G118" s="51">
        <v>-19</v>
      </c>
      <c r="K118" s="59"/>
      <c r="L118" s="18"/>
    </row>
    <row r="119" spans="1:12" x14ac:dyDescent="0.2">
      <c r="B119" s="36" t="s">
        <v>101</v>
      </c>
      <c r="E119" s="20"/>
      <c r="F119" s="51">
        <v>0</v>
      </c>
      <c r="G119" s="51">
        <v>0</v>
      </c>
      <c r="K119" s="59"/>
      <c r="L119" s="18"/>
    </row>
    <row r="120" spans="1:12" s="33" customFormat="1" x14ac:dyDescent="0.2">
      <c r="B120" s="33" t="s">
        <v>17</v>
      </c>
      <c r="E120" s="61"/>
      <c r="F120" s="33">
        <f>SUM(F115:F119)</f>
        <v>21091</v>
      </c>
      <c r="G120" s="33">
        <f>SUM(G115:G119)</f>
        <v>19473</v>
      </c>
      <c r="J120" s="27"/>
      <c r="K120" s="77"/>
      <c r="L120" s="61"/>
    </row>
    <row r="121" spans="1:12" x14ac:dyDescent="0.2">
      <c r="B121" s="27" t="s">
        <v>102</v>
      </c>
      <c r="E121" s="20"/>
      <c r="F121" s="51">
        <f>557+13063</f>
        <v>13620</v>
      </c>
      <c r="G121" s="51">
        <f>638+3462</f>
        <v>4100</v>
      </c>
      <c r="K121" s="59"/>
      <c r="L121" s="18"/>
    </row>
    <row r="122" spans="1:12" s="33" customFormat="1" x14ac:dyDescent="0.2">
      <c r="B122" s="33" t="s">
        <v>16</v>
      </c>
      <c r="E122" s="61"/>
      <c r="F122" s="85">
        <f>F120-F121</f>
        <v>7471</v>
      </c>
      <c r="G122" s="85">
        <f>G120-G121</f>
        <v>15373</v>
      </c>
      <c r="J122" s="27"/>
      <c r="K122" s="37"/>
      <c r="L122" s="61"/>
    </row>
    <row r="123" spans="1:12" s="38" customFormat="1" x14ac:dyDescent="0.2">
      <c r="B123" s="27" t="s">
        <v>34</v>
      </c>
      <c r="C123" s="27"/>
      <c r="D123" s="27"/>
      <c r="E123" s="20"/>
      <c r="F123" s="31">
        <f>F120/F52</f>
        <v>5.524096385542169</v>
      </c>
      <c r="G123" s="31">
        <f>G120/G52</f>
        <v>4.393727436823105</v>
      </c>
      <c r="J123" s="27"/>
      <c r="K123" s="80"/>
      <c r="L123" s="19"/>
    </row>
    <row r="124" spans="1:12" s="38" customFormat="1" x14ac:dyDescent="0.2">
      <c r="B124" s="27" t="s">
        <v>103</v>
      </c>
      <c r="C124" s="27"/>
      <c r="D124" s="27"/>
      <c r="E124" s="20"/>
      <c r="F124" s="31">
        <f>F122/F52</f>
        <v>1.9567836563645888</v>
      </c>
      <c r="G124" s="31">
        <f>G122/G52</f>
        <v>3.4686371841155235</v>
      </c>
      <c r="J124" s="27"/>
      <c r="K124" s="80"/>
      <c r="L124" s="19"/>
    </row>
    <row r="125" spans="1:12" x14ac:dyDescent="0.2">
      <c r="B125" s="27" t="s">
        <v>104</v>
      </c>
      <c r="E125" s="20"/>
      <c r="F125" s="41">
        <v>130</v>
      </c>
      <c r="G125" s="41">
        <v>151</v>
      </c>
      <c r="K125" s="59"/>
      <c r="L125" s="18"/>
    </row>
    <row r="126" spans="1:12" x14ac:dyDescent="0.2">
      <c r="B126" s="27" t="s">
        <v>105</v>
      </c>
      <c r="E126" s="20"/>
      <c r="F126" s="41">
        <v>276</v>
      </c>
      <c r="G126" s="41">
        <v>414</v>
      </c>
      <c r="K126" s="59"/>
      <c r="L126" s="18"/>
    </row>
    <row r="127" spans="1:12" s="38" customFormat="1" x14ac:dyDescent="0.2">
      <c r="B127" s="27" t="s">
        <v>36</v>
      </c>
      <c r="C127" s="27"/>
      <c r="D127" s="27"/>
      <c r="E127" s="20"/>
      <c r="F127" s="27">
        <f>F52/F126</f>
        <v>13.833333333333334</v>
      </c>
      <c r="G127" s="27">
        <f>G52/G126</f>
        <v>10.705314009661835</v>
      </c>
      <c r="I127" s="18"/>
      <c r="J127" s="27"/>
      <c r="K127" s="80"/>
      <c r="L127" s="19"/>
    </row>
    <row r="128" spans="1:12" x14ac:dyDescent="0.2">
      <c r="B128" s="27" t="s">
        <v>106</v>
      </c>
      <c r="E128" s="20"/>
      <c r="F128" s="41">
        <v>13194</v>
      </c>
      <c r="G128" s="41">
        <v>14574</v>
      </c>
      <c r="I128" s="18"/>
      <c r="K128" s="59"/>
      <c r="L128" s="18"/>
    </row>
    <row r="129" spans="1:17" s="38" customFormat="1" x14ac:dyDescent="0.2">
      <c r="B129" s="27" t="s">
        <v>107</v>
      </c>
      <c r="C129" s="27"/>
      <c r="D129" s="27"/>
      <c r="E129" s="20"/>
      <c r="F129" s="114">
        <f>F120/F128</f>
        <v>1.5985296346824314</v>
      </c>
      <c r="G129" s="114">
        <f>G120/G128</f>
        <v>1.3361465623713462</v>
      </c>
      <c r="I129" s="18"/>
      <c r="J129" s="27"/>
      <c r="K129" s="81"/>
      <c r="L129" s="18"/>
      <c r="N129" s="27"/>
      <c r="O129" s="27"/>
      <c r="P129" s="27"/>
      <c r="Q129" s="27"/>
    </row>
    <row r="130" spans="1:17" s="38" customFormat="1" x14ac:dyDescent="0.2">
      <c r="B130" s="27"/>
      <c r="C130" s="27"/>
      <c r="D130" s="27"/>
      <c r="E130" s="20"/>
      <c r="F130" s="114"/>
      <c r="G130" s="114"/>
      <c r="J130" s="27"/>
      <c r="K130" s="81"/>
      <c r="L130" s="18"/>
      <c r="N130" s="27"/>
      <c r="O130" s="27"/>
      <c r="P130" s="27"/>
      <c r="Q130" s="27"/>
    </row>
    <row r="131" spans="1:17" s="38" customFormat="1" ht="15" x14ac:dyDescent="0.25">
      <c r="A131" s="112" t="s">
        <v>108</v>
      </c>
      <c r="B131" s="27"/>
      <c r="C131" s="27"/>
      <c r="D131" s="27"/>
      <c r="E131" s="20"/>
      <c r="F131" s="114"/>
      <c r="G131" s="114"/>
      <c r="K131" s="81"/>
      <c r="L131" s="18"/>
      <c r="N131" s="27"/>
      <c r="O131" s="27"/>
      <c r="P131" s="27"/>
      <c r="Q131" s="27"/>
    </row>
    <row r="132" spans="1:17" s="38" customFormat="1" x14ac:dyDescent="0.2">
      <c r="B132" s="27" t="s">
        <v>15</v>
      </c>
      <c r="C132" s="20"/>
      <c r="D132" s="27"/>
      <c r="E132" s="20"/>
      <c r="F132" s="114">
        <f>F76/F128</f>
        <v>0.15328586478702441</v>
      </c>
      <c r="G132" s="114">
        <f>G76/G128</f>
        <v>0.17026537669822972</v>
      </c>
      <c r="K132" s="81"/>
      <c r="L132" s="18"/>
      <c r="N132" s="27"/>
      <c r="O132" s="27"/>
      <c r="P132" s="27"/>
      <c r="Q132" s="27"/>
    </row>
    <row r="133" spans="1:17" ht="15" x14ac:dyDescent="0.2">
      <c r="B133" s="82"/>
      <c r="C133" s="82"/>
      <c r="D133" s="82"/>
      <c r="E133" s="82"/>
      <c r="F133" s="82"/>
      <c r="G133" s="82"/>
      <c r="K133" s="83"/>
      <c r="L133" s="18"/>
    </row>
    <row r="134" spans="1:17" x14ac:dyDescent="0.2">
      <c r="B134" s="27" t="str">
        <f>B62</f>
        <v>NOPAT</v>
      </c>
      <c r="F134" s="27">
        <f>F62</f>
        <v>2127.3247148288974</v>
      </c>
      <c r="G134" s="27">
        <f>G62</f>
        <v>2681.8288834951459</v>
      </c>
      <c r="L134" s="18"/>
    </row>
    <row r="135" spans="1:17" x14ac:dyDescent="0.2">
      <c r="B135" s="27" t="str">
        <f>B128</f>
        <v>Equity - book value (inc. NCI)</v>
      </c>
      <c r="F135" s="27">
        <f>F128</f>
        <v>13194</v>
      </c>
      <c r="G135" s="27">
        <f>G128</f>
        <v>14574</v>
      </c>
      <c r="L135" s="18"/>
    </row>
    <row r="136" spans="1:17" x14ac:dyDescent="0.2">
      <c r="B136" s="27" t="str">
        <f>B122</f>
        <v>Net debt</v>
      </c>
      <c r="F136" s="27">
        <f>F122</f>
        <v>7471</v>
      </c>
      <c r="G136" s="27">
        <f>G122</f>
        <v>15373</v>
      </c>
      <c r="L136" s="18"/>
    </row>
    <row r="137" spans="1:17" x14ac:dyDescent="0.2">
      <c r="B137" s="27" t="s">
        <v>109</v>
      </c>
      <c r="F137" s="27">
        <f>SUM(F135:F136)</f>
        <v>20665</v>
      </c>
      <c r="G137" s="27">
        <f>SUM(G135:G136)</f>
        <v>29947</v>
      </c>
      <c r="L137" s="18"/>
    </row>
    <row r="138" spans="1:17" x14ac:dyDescent="0.2">
      <c r="B138" s="27" t="s">
        <v>14</v>
      </c>
      <c r="F138" s="114">
        <f>F134/F137</f>
        <v>0.10294336873113465</v>
      </c>
      <c r="G138" s="114">
        <f>G134/G137</f>
        <v>8.9552505542964095E-2</v>
      </c>
      <c r="L138" s="18"/>
    </row>
    <row r="139" spans="1:17" x14ac:dyDescent="0.2">
      <c r="L139" s="18"/>
    </row>
  </sheetData>
  <printOptions headings="1" gridLines="1"/>
  <pageMargins left="0.74803149606299213" right="0.74803149606299213" top="0.98425196850393704" bottom="0.98425196850393704" header="0.51181102362204722" footer="0.51181102362204722"/>
  <pageSetup fitToHeight="0" orientation="landscape" r:id="rId1"/>
  <headerFooter alignWithMargins="0">
    <oddHeader>&amp;L&amp;8&amp;F &amp;A</oddHeader>
    <oddFooter>&amp;R &amp;8Page &amp;P of &amp;N&amp;L&amp;8© AMT Training 2008 - 2017</oddFooter>
  </headerFooter>
  <rowBreaks count="2" manualBreakCount="2">
    <brk id="24" max="17" man="1"/>
    <brk id="77" max="17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39"/>
    <pageSetUpPr autoPageBreaks="0"/>
  </sheetPr>
  <dimension ref="A1:X139"/>
  <sheetViews>
    <sheetView showGridLines="0" zoomScaleNormal="100" workbookViewId="0"/>
  </sheetViews>
  <sheetFormatPr defaultColWidth="9.140625" defaultRowHeight="12.75" x14ac:dyDescent="0.2"/>
  <cols>
    <col min="1" max="1" width="2.28515625" style="27" customWidth="1"/>
    <col min="2" max="2" width="48.7109375" style="27" customWidth="1"/>
    <col min="3" max="10" width="10.28515625" style="27" customWidth="1"/>
    <col min="11" max="11" width="10.28515625" style="28" customWidth="1"/>
    <col min="12" max="13" width="10.28515625" style="27" customWidth="1"/>
    <col min="14" max="14" width="12.5703125" style="27" bestFit="1" customWidth="1"/>
    <col min="15" max="15" width="12" style="27" bestFit="1" customWidth="1"/>
    <col min="16" max="16384" width="9.140625" style="27"/>
  </cols>
  <sheetData>
    <row r="1" spans="1:19" ht="30" x14ac:dyDescent="0.45">
      <c r="A1" s="11" t="s">
        <v>129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9" s="111" customFormat="1" ht="15" customHeight="1" x14ac:dyDescent="0.25">
      <c r="A2" s="107"/>
      <c r="B2" s="107"/>
      <c r="C2" s="108" t="s">
        <v>20</v>
      </c>
      <c r="D2" s="108" t="s">
        <v>20</v>
      </c>
      <c r="E2" s="108" t="s">
        <v>20</v>
      </c>
      <c r="F2" s="108" t="s">
        <v>20</v>
      </c>
      <c r="G2" s="108" t="s">
        <v>20</v>
      </c>
      <c r="H2" s="108"/>
      <c r="I2" s="108" t="s">
        <v>21</v>
      </c>
      <c r="J2" s="108" t="s">
        <v>21</v>
      </c>
      <c r="K2" s="108" t="s">
        <v>22</v>
      </c>
      <c r="L2" s="108" t="s">
        <v>22</v>
      </c>
      <c r="M2" s="108" t="s">
        <v>22</v>
      </c>
      <c r="N2" s="109"/>
      <c r="O2" s="109"/>
      <c r="P2" s="109"/>
      <c r="Q2" s="109"/>
      <c r="R2" s="110"/>
      <c r="S2" s="110"/>
    </row>
    <row r="3" spans="1:19" s="6" customFormat="1" ht="19.5" thickBot="1" x14ac:dyDescent="0.35">
      <c r="A3" s="14" t="s">
        <v>23</v>
      </c>
      <c r="B3" s="15"/>
      <c r="C3" s="16">
        <f>EDATE(D3,-12)</f>
        <v>41639</v>
      </c>
      <c r="D3" s="16">
        <f>EDATE(E3,-12)</f>
        <v>42004</v>
      </c>
      <c r="E3" s="16">
        <f>EDATE(F3,-12)</f>
        <v>42369</v>
      </c>
      <c r="F3" s="16">
        <f>EDATE(G3,-12)</f>
        <v>42735</v>
      </c>
      <c r="G3" s="16">
        <v>43100</v>
      </c>
      <c r="H3" s="16" t="s">
        <v>11</v>
      </c>
      <c r="I3" s="16" t="s">
        <v>24</v>
      </c>
      <c r="J3" s="16" t="s">
        <v>25</v>
      </c>
      <c r="K3" s="16">
        <f>EDATE(G3,12)</f>
        <v>43465</v>
      </c>
      <c r="L3" s="16">
        <f>EDATE(K3,12)</f>
        <v>43830</v>
      </c>
      <c r="M3" s="16">
        <f>EDATE(L3,12)</f>
        <v>44196</v>
      </c>
      <c r="N3" s="16"/>
      <c r="O3" s="16"/>
      <c r="P3" s="16"/>
    </row>
    <row r="4" spans="1:19" ht="13.5" thickTop="1" x14ac:dyDescent="0.2"/>
    <row r="5" spans="1:19" ht="15" x14ac:dyDescent="0.25">
      <c r="A5" s="112" t="s">
        <v>26</v>
      </c>
      <c r="B5" s="38"/>
      <c r="C5" s="38"/>
      <c r="D5" s="38"/>
      <c r="E5" s="39"/>
      <c r="F5" s="39"/>
      <c r="G5" s="39"/>
      <c r="H5" s="39"/>
      <c r="I5" s="39"/>
      <c r="J5" s="39"/>
      <c r="K5" s="39"/>
      <c r="L5" s="39"/>
      <c r="M5" s="39"/>
    </row>
    <row r="6" spans="1:19" x14ac:dyDescent="0.2">
      <c r="A6" s="28"/>
      <c r="B6" s="28" t="s">
        <v>12</v>
      </c>
      <c r="C6" s="28">
        <f>C27</f>
        <v>14792</v>
      </c>
      <c r="D6" s="28">
        <f>D27</f>
        <v>14580</v>
      </c>
      <c r="E6" s="28">
        <f>E27</f>
        <v>13525</v>
      </c>
      <c r="F6" s="28">
        <f>F27</f>
        <v>12983</v>
      </c>
      <c r="G6" s="28">
        <f>G27</f>
        <v>12909</v>
      </c>
      <c r="H6" s="40">
        <f>G6-I6+J6</f>
        <v>12909</v>
      </c>
      <c r="I6" s="28">
        <f>I27</f>
        <v>0</v>
      </c>
      <c r="J6" s="28">
        <f>J27</f>
        <v>0</v>
      </c>
      <c r="K6" s="51"/>
      <c r="L6" s="51"/>
      <c r="M6" s="51"/>
      <c r="N6" s="99"/>
    </row>
    <row r="7" spans="1:19" x14ac:dyDescent="0.2">
      <c r="A7" s="28"/>
      <c r="B7" s="28" t="s">
        <v>9</v>
      </c>
      <c r="C7" s="28"/>
      <c r="D7" s="28"/>
      <c r="E7" s="28"/>
      <c r="F7" s="28">
        <f>F52</f>
        <v>2416</v>
      </c>
      <c r="G7" s="28">
        <f>G52</f>
        <v>2573</v>
      </c>
      <c r="H7" s="40">
        <f>G7-I7+J7</f>
        <v>2573</v>
      </c>
      <c r="I7" s="28">
        <f>I52</f>
        <v>0</v>
      </c>
      <c r="J7" s="28">
        <f>J52</f>
        <v>0</v>
      </c>
      <c r="K7" s="58"/>
      <c r="L7" s="100"/>
      <c r="M7" s="58"/>
      <c r="N7" s="99"/>
    </row>
    <row r="8" spans="1:19" x14ac:dyDescent="0.2">
      <c r="A8" s="28"/>
      <c r="B8" s="28" t="s">
        <v>10</v>
      </c>
      <c r="C8" s="28"/>
      <c r="D8" s="28"/>
      <c r="E8" s="28"/>
      <c r="F8" s="28">
        <f>F46</f>
        <v>1995</v>
      </c>
      <c r="G8" s="28">
        <f>G46</f>
        <v>2169</v>
      </c>
      <c r="H8" s="40">
        <f>G8-I8+J8</f>
        <v>2169</v>
      </c>
      <c r="I8" s="28">
        <f>I46</f>
        <v>0</v>
      </c>
      <c r="J8" s="28">
        <f>J46</f>
        <v>0</v>
      </c>
      <c r="K8" s="58"/>
      <c r="L8" s="58"/>
      <c r="M8" s="58"/>
      <c r="N8" s="99"/>
    </row>
    <row r="9" spans="1:19" x14ac:dyDescent="0.2">
      <c r="A9" s="28"/>
      <c r="B9" s="28" t="s">
        <v>18</v>
      </c>
      <c r="C9" s="28"/>
      <c r="D9" s="28"/>
      <c r="E9" s="30"/>
      <c r="F9" s="30">
        <f>F85</f>
        <v>3.7259887005649719</v>
      </c>
      <c r="G9" s="30">
        <f>G85</f>
        <v>4.0428571428571427</v>
      </c>
      <c r="H9" s="43"/>
      <c r="I9" s="43"/>
      <c r="J9" s="43"/>
      <c r="K9" s="101"/>
      <c r="L9" s="101"/>
      <c r="M9" s="102"/>
      <c r="N9" s="99"/>
    </row>
    <row r="10" spans="1:19" s="18" customFormat="1" x14ac:dyDescent="0.2">
      <c r="A10" s="35"/>
      <c r="B10" s="35"/>
      <c r="C10" s="35"/>
      <c r="D10" s="49"/>
      <c r="E10" s="49"/>
      <c r="F10" s="49"/>
      <c r="G10" s="49"/>
      <c r="H10" s="20"/>
      <c r="I10" s="20"/>
      <c r="J10" s="20"/>
      <c r="K10" s="49"/>
      <c r="L10" s="49"/>
      <c r="M10" s="49"/>
      <c r="N10" s="45" t="s">
        <v>13</v>
      </c>
      <c r="O10" s="45" t="s">
        <v>13</v>
      </c>
    </row>
    <row r="11" spans="1:19" s="18" customFormat="1" ht="15" x14ac:dyDescent="0.25">
      <c r="A11" s="113" t="s">
        <v>27</v>
      </c>
      <c r="B11" s="35"/>
      <c r="C11" s="35"/>
      <c r="D11" s="49"/>
      <c r="E11" s="49"/>
      <c r="F11" s="28"/>
      <c r="G11" s="28"/>
      <c r="H11" s="27"/>
      <c r="I11" s="27"/>
      <c r="J11" s="49"/>
      <c r="K11" s="49"/>
      <c r="L11" s="20"/>
      <c r="M11" s="20"/>
      <c r="N11" s="47" t="str">
        <f>TEXT(YEAR(C3),"0000")&amp;" - "&amp;TEXT(YEAR(G3),"0000")</f>
        <v>2013 - 2017</v>
      </c>
      <c r="O11" s="47" t="str">
        <f>TEXT(YEAR(G3),"0000")&amp;" - "&amp;TEXT(YEAR(M3),"0000")</f>
        <v>2017 - 2020</v>
      </c>
    </row>
    <row r="12" spans="1:19" s="18" customFormat="1" x14ac:dyDescent="0.2">
      <c r="A12" s="46"/>
      <c r="B12" s="35" t="s">
        <v>28</v>
      </c>
      <c r="C12" s="35"/>
      <c r="D12" s="48">
        <f>D28</f>
        <v>-1.4332071389940526E-2</v>
      </c>
      <c r="E12" s="48">
        <f>E28</f>
        <v>-7.2359396433470557E-2</v>
      </c>
      <c r="F12" s="48">
        <f>F28</f>
        <v>-4.0073937153419559E-2</v>
      </c>
      <c r="G12" s="48">
        <f>G28</f>
        <v>-5.6997612262188468E-3</v>
      </c>
      <c r="H12" s="27"/>
      <c r="I12" s="27"/>
      <c r="J12" s="49"/>
      <c r="K12" s="48">
        <f>K6/G6-1</f>
        <v>-1</v>
      </c>
      <c r="L12" s="48" t="e">
        <f>L6/K6-1</f>
        <v>#DIV/0!</v>
      </c>
      <c r="M12" s="48" t="e">
        <f>M6/L6-1</f>
        <v>#DIV/0!</v>
      </c>
      <c r="N12" s="48">
        <f>(G6/C6)^(1/4)-1</f>
        <v>-3.3467580684466425E-2</v>
      </c>
      <c r="O12" s="48">
        <f>(M6/G6)^(1/3)-1</f>
        <v>-1</v>
      </c>
    </row>
    <row r="13" spans="1:19" s="18" customFormat="1" x14ac:dyDescent="0.2">
      <c r="A13" s="46"/>
      <c r="B13" s="35" t="str">
        <f>B32</f>
        <v>Gross margin</v>
      </c>
      <c r="C13" s="35"/>
      <c r="D13" s="48"/>
      <c r="E13" s="48"/>
      <c r="F13" s="48">
        <f>F32</f>
        <v>0.38966340599245169</v>
      </c>
      <c r="G13" s="48">
        <f>G32</f>
        <v>0.3915872646990472</v>
      </c>
      <c r="H13" s="49"/>
      <c r="I13" s="48"/>
      <c r="J13" s="49"/>
      <c r="K13" s="49"/>
      <c r="L13" s="20"/>
      <c r="M13" s="20"/>
      <c r="N13" s="20"/>
      <c r="O13" s="20"/>
    </row>
    <row r="14" spans="1:19" x14ac:dyDescent="0.2">
      <c r="A14" s="28"/>
      <c r="B14" s="28" t="s">
        <v>29</v>
      </c>
      <c r="C14" s="28"/>
      <c r="D14" s="28"/>
      <c r="E14" s="28"/>
      <c r="F14" s="48">
        <f t="shared" ref="F14:M14" si="0">F7/F6</f>
        <v>0.18608950165601171</v>
      </c>
      <c r="G14" s="48">
        <f t="shared" si="0"/>
        <v>0.19931830505848633</v>
      </c>
      <c r="H14" s="48">
        <f t="shared" si="0"/>
        <v>0.19931830505848633</v>
      </c>
      <c r="I14" s="48" t="e">
        <f t="shared" si="0"/>
        <v>#DIV/0!</v>
      </c>
      <c r="J14" s="48" t="e">
        <f t="shared" si="0"/>
        <v>#DIV/0!</v>
      </c>
      <c r="K14" s="48" t="e">
        <f t="shared" si="0"/>
        <v>#DIV/0!</v>
      </c>
      <c r="L14" s="48" t="e">
        <f t="shared" si="0"/>
        <v>#DIV/0!</v>
      </c>
      <c r="M14" s="48" t="e">
        <f t="shared" si="0"/>
        <v>#DIV/0!</v>
      </c>
    </row>
    <row r="15" spans="1:19" s="18" customFormat="1" x14ac:dyDescent="0.2">
      <c r="A15" s="46"/>
      <c r="B15" s="35" t="s">
        <v>30</v>
      </c>
      <c r="C15" s="35"/>
      <c r="D15" s="49"/>
      <c r="E15" s="49"/>
      <c r="F15" s="48">
        <f t="shared" ref="F15:M15" si="1">F8/F6</f>
        <v>0.1536624817068474</v>
      </c>
      <c r="G15" s="103">
        <f t="shared" si="1"/>
        <v>0.16802231001626772</v>
      </c>
      <c r="H15" s="103">
        <f t="shared" si="1"/>
        <v>0.16802231001626772</v>
      </c>
      <c r="I15" s="103" t="e">
        <f t="shared" si="1"/>
        <v>#DIV/0!</v>
      </c>
      <c r="J15" s="103" t="e">
        <f t="shared" si="1"/>
        <v>#DIV/0!</v>
      </c>
      <c r="K15" s="103" t="e">
        <f t="shared" si="1"/>
        <v>#DIV/0!</v>
      </c>
      <c r="L15" s="103" t="e">
        <f t="shared" si="1"/>
        <v>#DIV/0!</v>
      </c>
      <c r="M15" s="103" t="e">
        <f t="shared" si="1"/>
        <v>#DIV/0!</v>
      </c>
      <c r="N15" s="20"/>
      <c r="O15" s="20"/>
    </row>
    <row r="16" spans="1:19" x14ac:dyDescent="0.2">
      <c r="A16" s="28"/>
      <c r="B16" s="28" t="s">
        <v>31</v>
      </c>
      <c r="C16" s="28"/>
      <c r="D16" s="28"/>
      <c r="E16" s="28"/>
      <c r="F16" s="48">
        <f>F103</f>
        <v>-5.7382731263960561E-2</v>
      </c>
      <c r="G16" s="48">
        <f>G103</f>
        <v>-7.3204740878456895E-2</v>
      </c>
      <c r="H16" s="28"/>
      <c r="I16" s="28"/>
      <c r="J16" s="28"/>
      <c r="L16" s="28"/>
      <c r="M16" s="28"/>
    </row>
    <row r="17" spans="1:17" x14ac:dyDescent="0.2">
      <c r="A17" s="28"/>
      <c r="B17" s="28" t="s">
        <v>32</v>
      </c>
      <c r="C17" s="28"/>
      <c r="D17" s="28"/>
      <c r="E17" s="28"/>
      <c r="F17" s="48">
        <f>F110</f>
        <v>0.27489794346453056</v>
      </c>
      <c r="G17" s="48">
        <f>G110</f>
        <v>0.28786118212100087</v>
      </c>
      <c r="H17" s="28"/>
      <c r="I17" s="28"/>
      <c r="J17" s="28"/>
      <c r="L17" s="28"/>
      <c r="M17" s="28"/>
    </row>
    <row r="18" spans="1:17" x14ac:dyDescent="0.2">
      <c r="A18" s="28"/>
      <c r="B18" s="28" t="s">
        <v>33</v>
      </c>
      <c r="C18" s="28"/>
      <c r="D18" s="28"/>
      <c r="E18" s="28"/>
      <c r="F18" s="28">
        <f>F112</f>
        <v>1.2246376811594204</v>
      </c>
      <c r="G18" s="28">
        <f>G112</f>
        <v>1.278061224489796</v>
      </c>
      <c r="H18" s="28"/>
      <c r="I18" s="28"/>
      <c r="J18" s="28"/>
      <c r="L18" s="28"/>
      <c r="M18" s="28"/>
    </row>
    <row r="19" spans="1:17" x14ac:dyDescent="0.2">
      <c r="A19" s="28"/>
      <c r="B19" s="28" t="s">
        <v>34</v>
      </c>
      <c r="C19" s="28"/>
      <c r="D19" s="28"/>
      <c r="E19" s="28"/>
      <c r="F19" s="28">
        <f>F123</f>
        <v>3.2148178807947021</v>
      </c>
      <c r="G19" s="28">
        <f>G123</f>
        <v>3.3482316362223088</v>
      </c>
      <c r="H19" s="28"/>
      <c r="I19" s="28"/>
      <c r="J19" s="28"/>
      <c r="L19" s="28"/>
      <c r="M19" s="28"/>
    </row>
    <row r="20" spans="1:17" x14ac:dyDescent="0.2">
      <c r="A20" s="28"/>
      <c r="B20" s="28" t="s">
        <v>35</v>
      </c>
      <c r="C20" s="28"/>
      <c r="D20" s="28"/>
      <c r="E20" s="28"/>
      <c r="F20" s="28">
        <f>F124</f>
        <v>3.0989238410596025</v>
      </c>
      <c r="G20" s="28">
        <f>G124</f>
        <v>3.2390205985231248</v>
      </c>
      <c r="H20" s="28"/>
      <c r="I20" s="28"/>
      <c r="J20" s="28"/>
      <c r="L20" s="28"/>
      <c r="M20" s="28"/>
    </row>
    <row r="21" spans="1:17" x14ac:dyDescent="0.2">
      <c r="A21" s="28"/>
      <c r="B21" s="28" t="s">
        <v>36</v>
      </c>
      <c r="C21" s="28"/>
      <c r="D21" s="28"/>
      <c r="E21" s="28"/>
      <c r="F21" s="28">
        <f>F127</f>
        <v>9.5494071146245059</v>
      </c>
      <c r="G21" s="28">
        <f>G127</f>
        <v>10.05078125</v>
      </c>
      <c r="H21" s="28"/>
      <c r="I21" s="28"/>
      <c r="J21" s="28"/>
      <c r="L21" s="28"/>
      <c r="M21" s="28"/>
    </row>
    <row r="22" spans="1:17" x14ac:dyDescent="0.2">
      <c r="A22" s="28"/>
      <c r="B22" s="28" t="str">
        <f>B129</f>
        <v>Total debt / equity</v>
      </c>
      <c r="C22" s="28"/>
      <c r="D22" s="28"/>
      <c r="E22" s="28"/>
      <c r="F22" s="48">
        <f>F129</f>
        <v>4.0327102803738315</v>
      </c>
      <c r="G22" s="48">
        <f>G129</f>
        <v>3.8666965888689409</v>
      </c>
      <c r="H22" s="28"/>
      <c r="I22" s="28"/>
      <c r="J22" s="28"/>
      <c r="L22" s="28"/>
      <c r="M22" s="28"/>
    </row>
    <row r="23" spans="1:17" x14ac:dyDescent="0.2">
      <c r="A23" s="28"/>
      <c r="B23" s="28" t="s">
        <v>14</v>
      </c>
      <c r="C23" s="28"/>
      <c r="D23" s="28"/>
      <c r="E23" s="28"/>
      <c r="F23" s="48">
        <f>F138</f>
        <v>0.15866991082015955</v>
      </c>
      <c r="G23" s="48">
        <f>G138</f>
        <v>0.15481651609645453</v>
      </c>
      <c r="H23" s="28"/>
      <c r="I23" s="28"/>
      <c r="J23" s="28"/>
      <c r="L23" s="28"/>
      <c r="M23" s="28"/>
    </row>
    <row r="24" spans="1:17" x14ac:dyDescent="0.2">
      <c r="A24" s="28"/>
      <c r="B24" s="28" t="s">
        <v>15</v>
      </c>
      <c r="C24" s="28"/>
      <c r="D24" s="28"/>
      <c r="E24" s="28"/>
      <c r="F24" s="48">
        <f>F132</f>
        <v>0.68535825545171336</v>
      </c>
      <c r="G24" s="48">
        <f>G132</f>
        <v>0.63509874326750448</v>
      </c>
      <c r="H24" s="28"/>
      <c r="I24" s="28"/>
      <c r="J24" s="28"/>
      <c r="L24" s="28"/>
      <c r="M24" s="28"/>
    </row>
    <row r="25" spans="1:17" x14ac:dyDescent="0.2">
      <c r="A25" s="28"/>
      <c r="B25" s="28"/>
      <c r="C25" s="28"/>
      <c r="D25" s="28"/>
      <c r="E25" s="28"/>
      <c r="F25" s="28"/>
      <c r="G25" s="28"/>
      <c r="I25" s="28"/>
      <c r="J25" s="28"/>
      <c r="L25" s="28"/>
    </row>
    <row r="26" spans="1:17" ht="15" x14ac:dyDescent="0.25">
      <c r="A26" s="112" t="s">
        <v>37</v>
      </c>
      <c r="L26" s="28"/>
    </row>
    <row r="27" spans="1:17" x14ac:dyDescent="0.2">
      <c r="B27" s="27" t="s">
        <v>12</v>
      </c>
      <c r="C27" s="51">
        <v>14792</v>
      </c>
      <c r="D27" s="51">
        <v>14580</v>
      </c>
      <c r="E27" s="51">
        <v>13525</v>
      </c>
      <c r="F27" s="51">
        <f>13014-31</f>
        <v>12983</v>
      </c>
      <c r="G27" s="41">
        <f>12923-14</f>
        <v>12909</v>
      </c>
      <c r="H27" s="99"/>
      <c r="I27" s="51">
        <v>0</v>
      </c>
      <c r="J27" s="51">
        <v>0</v>
      </c>
      <c r="K27" s="52"/>
    </row>
    <row r="28" spans="1:17" s="38" customFormat="1" x14ac:dyDescent="0.2">
      <c r="A28" s="27"/>
      <c r="B28" s="27" t="s">
        <v>38</v>
      </c>
      <c r="C28" s="114"/>
      <c r="D28" s="114">
        <f>D27/C27-1</f>
        <v>-1.4332071389940526E-2</v>
      </c>
      <c r="E28" s="114">
        <f>E27/D27-1</f>
        <v>-7.2359396433470557E-2</v>
      </c>
      <c r="F28" s="114">
        <f>F27/E27-1</f>
        <v>-4.0073937153419559E-2</v>
      </c>
      <c r="G28" s="115">
        <f>G27/F27-1</f>
        <v>-5.6997612262188468E-3</v>
      </c>
      <c r="H28" s="20"/>
      <c r="I28" s="115"/>
      <c r="J28" s="115"/>
      <c r="K28" s="55"/>
      <c r="N28" s="27"/>
      <c r="O28" s="27"/>
      <c r="P28" s="27"/>
      <c r="Q28" s="27"/>
    </row>
    <row r="29" spans="1:17" x14ac:dyDescent="0.2">
      <c r="E29" s="18"/>
      <c r="F29" s="26"/>
      <c r="G29" s="56"/>
      <c r="H29" s="18"/>
      <c r="I29" s="56"/>
      <c r="J29" s="56"/>
      <c r="K29" s="57"/>
    </row>
    <row r="30" spans="1:17" x14ac:dyDescent="0.2">
      <c r="B30" s="27" t="s">
        <v>39</v>
      </c>
      <c r="E30" s="18"/>
      <c r="F30" s="58">
        <f>8259-159-173-2+11-12</f>
        <v>7924</v>
      </c>
      <c r="G30" s="58">
        <f>7901+8-46-1-(14-6)</f>
        <v>7854</v>
      </c>
      <c r="H30" s="99"/>
      <c r="I30" s="58">
        <v>0</v>
      </c>
      <c r="J30" s="58">
        <v>0</v>
      </c>
      <c r="K30" s="59"/>
      <c r="L30" s="18"/>
    </row>
    <row r="31" spans="1:17" s="33" customFormat="1" x14ac:dyDescent="0.2">
      <c r="B31" s="33" t="s">
        <v>40</v>
      </c>
      <c r="E31" s="61"/>
      <c r="F31" s="33">
        <f>F27-F30</f>
        <v>5059</v>
      </c>
      <c r="G31" s="33">
        <f>G27-G30</f>
        <v>5055</v>
      </c>
      <c r="I31" s="33">
        <f>I27-I30</f>
        <v>0</v>
      </c>
      <c r="J31" s="33">
        <f>J27-J30</f>
        <v>0</v>
      </c>
      <c r="K31" s="62"/>
      <c r="L31" s="61"/>
    </row>
    <row r="32" spans="1:17" x14ac:dyDescent="0.2">
      <c r="B32" s="27" t="s">
        <v>41</v>
      </c>
      <c r="E32" s="20"/>
      <c r="F32" s="114">
        <f>F31/F27</f>
        <v>0.38966340599245169</v>
      </c>
      <c r="G32" s="114">
        <f>G31/G27</f>
        <v>0.3915872646990472</v>
      </c>
      <c r="H32" s="20"/>
      <c r="I32" s="114" t="e">
        <f>I31/I27</f>
        <v>#DIV/0!</v>
      </c>
      <c r="J32" s="114" t="e">
        <f>J31/J27</f>
        <v>#DIV/0!</v>
      </c>
      <c r="K32" s="57"/>
    </row>
    <row r="33" spans="1:24" x14ac:dyDescent="0.2">
      <c r="E33" s="18"/>
      <c r="F33" s="26"/>
      <c r="G33" s="104"/>
      <c r="H33" s="18"/>
      <c r="I33" s="56"/>
      <c r="J33" s="56"/>
      <c r="K33" s="57"/>
    </row>
    <row r="34" spans="1:24" x14ac:dyDescent="0.2">
      <c r="B34" s="27" t="s">
        <v>42</v>
      </c>
      <c r="C34" s="33"/>
      <c r="D34" s="33"/>
      <c r="E34" s="18"/>
      <c r="F34" s="51">
        <v>1395</v>
      </c>
      <c r="G34" s="51">
        <v>1946</v>
      </c>
      <c r="H34" s="18"/>
      <c r="I34" s="51">
        <v>0</v>
      </c>
      <c r="J34" s="51">
        <v>0</v>
      </c>
      <c r="K34" s="52"/>
    </row>
    <row r="35" spans="1:24" s="38" customFormat="1" x14ac:dyDescent="0.2">
      <c r="A35" s="27"/>
      <c r="B35" s="27" t="s">
        <v>43</v>
      </c>
      <c r="C35" s="27"/>
      <c r="D35" s="27"/>
      <c r="E35" s="20"/>
      <c r="F35" s="114">
        <f>F34/F27</f>
        <v>0.10744820149426172</v>
      </c>
      <c r="G35" s="115">
        <f>G34/G27</f>
        <v>0.15074754047563715</v>
      </c>
      <c r="H35" s="20"/>
      <c r="I35" s="115" t="e">
        <f>I34/I27</f>
        <v>#DIV/0!</v>
      </c>
      <c r="J35" s="115" t="e">
        <f>J34/J27</f>
        <v>#DIV/0!</v>
      </c>
      <c r="K35" s="55"/>
    </row>
    <row r="36" spans="1:24" x14ac:dyDescent="0.2">
      <c r="B36" s="36" t="s">
        <v>130</v>
      </c>
      <c r="C36" s="36"/>
      <c r="D36" s="36"/>
      <c r="E36" s="18"/>
      <c r="F36" s="51">
        <v>261</v>
      </c>
      <c r="G36" s="51">
        <v>-45</v>
      </c>
      <c r="H36" s="18"/>
      <c r="I36" s="51">
        <v>0</v>
      </c>
      <c r="J36" s="51">
        <v>0</v>
      </c>
      <c r="K36" s="59"/>
    </row>
    <row r="37" spans="1:24" x14ac:dyDescent="0.2">
      <c r="B37" s="36" t="s">
        <v>131</v>
      </c>
      <c r="C37" s="36"/>
      <c r="D37" s="36"/>
      <c r="E37" s="18"/>
      <c r="F37" s="51">
        <v>325</v>
      </c>
      <c r="G37" s="51">
        <v>263</v>
      </c>
      <c r="H37" s="18"/>
      <c r="I37" s="51">
        <v>0</v>
      </c>
      <c r="J37" s="51">
        <v>0</v>
      </c>
      <c r="K37" s="59"/>
    </row>
    <row r="38" spans="1:24" x14ac:dyDescent="0.2">
      <c r="B38" s="36" t="s">
        <v>132</v>
      </c>
      <c r="C38" s="36"/>
      <c r="D38" s="36"/>
      <c r="E38" s="18"/>
      <c r="F38" s="51">
        <v>10</v>
      </c>
      <c r="G38" s="51">
        <v>5</v>
      </c>
      <c r="H38" s="18"/>
      <c r="I38" s="51">
        <v>0</v>
      </c>
      <c r="J38" s="51">
        <v>0</v>
      </c>
      <c r="K38" s="64"/>
      <c r="L38" s="18"/>
    </row>
    <row r="39" spans="1:24" x14ac:dyDescent="0.2">
      <c r="B39" s="36" t="s">
        <v>133</v>
      </c>
      <c r="C39" s="65"/>
      <c r="D39" s="65"/>
      <c r="E39" s="18"/>
      <c r="F39" s="51">
        <f>13-9</f>
        <v>4</v>
      </c>
      <c r="G39" s="51">
        <v>0</v>
      </c>
      <c r="H39" s="18"/>
      <c r="I39" s="51">
        <v>0</v>
      </c>
      <c r="J39" s="51">
        <v>0</v>
      </c>
      <c r="K39" s="64"/>
      <c r="L39" s="18"/>
    </row>
    <row r="40" spans="1:24" x14ac:dyDescent="0.2">
      <c r="B40" s="36" t="s">
        <v>115</v>
      </c>
      <c r="C40" s="65"/>
      <c r="D40" s="65"/>
      <c r="E40" s="18"/>
      <c r="F40" s="51">
        <v>0</v>
      </c>
      <c r="G40" s="51">
        <v>0</v>
      </c>
      <c r="H40" s="99"/>
      <c r="I40" s="51">
        <v>0</v>
      </c>
      <c r="J40" s="51">
        <v>0</v>
      </c>
      <c r="K40" s="64"/>
      <c r="L40" s="18"/>
    </row>
    <row r="41" spans="1:24" x14ac:dyDescent="0.2">
      <c r="B41" s="36" t="s">
        <v>49</v>
      </c>
      <c r="C41" s="65"/>
      <c r="D41" s="65"/>
      <c r="E41" s="18"/>
      <c r="F41" s="51">
        <v>0</v>
      </c>
      <c r="G41" s="51">
        <v>0</v>
      </c>
      <c r="H41" s="18"/>
      <c r="I41" s="51">
        <v>0</v>
      </c>
      <c r="J41" s="51">
        <v>0</v>
      </c>
      <c r="K41" s="64"/>
      <c r="L41" s="18"/>
    </row>
    <row r="42" spans="1:24" x14ac:dyDescent="0.2">
      <c r="B42" s="36" t="s">
        <v>50</v>
      </c>
      <c r="C42" s="36"/>
      <c r="D42" s="36"/>
      <c r="E42" s="18"/>
      <c r="F42" s="51">
        <v>0</v>
      </c>
      <c r="G42" s="51">
        <v>0</v>
      </c>
      <c r="H42" s="18"/>
      <c r="I42" s="51">
        <v>0</v>
      </c>
      <c r="J42" s="51">
        <v>0</v>
      </c>
      <c r="K42" s="64"/>
      <c r="L42" s="18"/>
    </row>
    <row r="43" spans="1:24" x14ac:dyDescent="0.2">
      <c r="B43" s="36" t="s">
        <v>51</v>
      </c>
      <c r="C43" s="36"/>
      <c r="D43" s="36"/>
      <c r="E43" s="18"/>
      <c r="F43" s="51">
        <v>0</v>
      </c>
      <c r="G43" s="51">
        <v>0</v>
      </c>
      <c r="H43" s="18"/>
      <c r="I43" s="51">
        <v>0</v>
      </c>
      <c r="J43" s="51">
        <v>0</v>
      </c>
      <c r="K43" s="64"/>
      <c r="L43" s="18"/>
    </row>
    <row r="44" spans="1:24" x14ac:dyDescent="0.2">
      <c r="B44" s="36" t="s">
        <v>52</v>
      </c>
      <c r="C44" s="36"/>
      <c r="D44" s="36"/>
      <c r="E44" s="18"/>
      <c r="F44" s="51">
        <v>0</v>
      </c>
      <c r="G44" s="51">
        <v>0</v>
      </c>
      <c r="H44" s="18"/>
      <c r="I44" s="51">
        <v>0</v>
      </c>
      <c r="J44" s="51">
        <v>0</v>
      </c>
      <c r="K44" s="64"/>
      <c r="L44" s="18"/>
    </row>
    <row r="45" spans="1:24" x14ac:dyDescent="0.2">
      <c r="B45" s="36" t="s">
        <v>53</v>
      </c>
      <c r="C45" s="36"/>
      <c r="D45" s="36"/>
      <c r="E45" s="18"/>
      <c r="F45" s="51">
        <v>0</v>
      </c>
      <c r="G45" s="51">
        <v>0</v>
      </c>
      <c r="H45" s="18"/>
      <c r="I45" s="51">
        <v>0</v>
      </c>
      <c r="J45" s="51">
        <v>0</v>
      </c>
      <c r="K45" s="52"/>
      <c r="L45" s="18"/>
    </row>
    <row r="46" spans="1:24" s="33" customFormat="1" x14ac:dyDescent="0.2">
      <c r="B46" s="33" t="s">
        <v>10</v>
      </c>
      <c r="E46" s="61"/>
      <c r="F46" s="33">
        <f>F34+SUM(F36:F45)</f>
        <v>1995</v>
      </c>
      <c r="G46" s="33">
        <f>G34+SUM(G36:G45)</f>
        <v>2169</v>
      </c>
      <c r="H46" s="61"/>
      <c r="I46" s="33">
        <f>I34+SUM(I36:I45)</f>
        <v>0</v>
      </c>
      <c r="J46" s="33">
        <f>J34+SUM(J36:J45)</f>
        <v>0</v>
      </c>
      <c r="K46" s="37"/>
      <c r="L46" s="61"/>
    </row>
    <row r="47" spans="1:24" s="38" customFormat="1" x14ac:dyDescent="0.2">
      <c r="B47" s="27" t="s">
        <v>30</v>
      </c>
      <c r="C47" s="27"/>
      <c r="D47" s="27"/>
      <c r="E47" s="20"/>
      <c r="F47" s="114">
        <f>F46/F27</f>
        <v>0.1536624817068474</v>
      </c>
      <c r="G47" s="115">
        <f>G46/G27</f>
        <v>0.16802231001626772</v>
      </c>
      <c r="H47" s="20"/>
      <c r="I47" s="115" t="e">
        <f>I46/I27</f>
        <v>#DIV/0!</v>
      </c>
      <c r="J47" s="115" t="e">
        <f>J46/J27</f>
        <v>#DIV/0!</v>
      </c>
      <c r="K47" s="55"/>
      <c r="L47" s="18"/>
      <c r="N47" s="27"/>
      <c r="O47" s="27"/>
      <c r="P47" s="27"/>
      <c r="Q47" s="27"/>
    </row>
    <row r="48" spans="1:24" x14ac:dyDescent="0.2">
      <c r="E48" s="18"/>
      <c r="F48" s="26"/>
      <c r="G48" s="56"/>
      <c r="H48" s="18"/>
      <c r="I48" s="56"/>
      <c r="J48" s="56"/>
      <c r="K48" s="57"/>
      <c r="L48" s="18"/>
      <c r="R48" s="18"/>
      <c r="S48" s="18"/>
      <c r="T48" s="18"/>
      <c r="U48" s="18"/>
      <c r="V48" s="18"/>
      <c r="W48" s="18"/>
      <c r="X48" s="18"/>
    </row>
    <row r="49" spans="2:24" x14ac:dyDescent="0.2">
      <c r="B49" s="27" t="s">
        <v>54</v>
      </c>
      <c r="E49" s="18"/>
      <c r="F49" s="51">
        <f>510-46-50</f>
        <v>414</v>
      </c>
      <c r="G49" s="51">
        <f>469-77</f>
        <v>392</v>
      </c>
      <c r="H49" s="105"/>
      <c r="I49" s="51">
        <v>0</v>
      </c>
      <c r="J49" s="51">
        <v>0</v>
      </c>
      <c r="K49" s="52"/>
      <c r="M49" s="18"/>
      <c r="N49" s="18"/>
      <c r="R49" s="18"/>
      <c r="S49" s="18"/>
      <c r="T49" s="18"/>
      <c r="U49" s="18"/>
      <c r="V49" s="18"/>
      <c r="W49" s="18"/>
      <c r="X49" s="18"/>
    </row>
    <row r="50" spans="2:24" x14ac:dyDescent="0.2">
      <c r="B50" s="27" t="s">
        <v>55</v>
      </c>
      <c r="E50" s="18"/>
      <c r="F50" s="51">
        <v>7</v>
      </c>
      <c r="G50" s="51">
        <v>12</v>
      </c>
      <c r="H50" s="18"/>
      <c r="I50" s="51">
        <v>0</v>
      </c>
      <c r="J50" s="51">
        <v>0</v>
      </c>
      <c r="K50" s="52"/>
      <c r="L50" s="18"/>
      <c r="M50" s="18"/>
      <c r="N50" s="18"/>
      <c r="R50" s="18"/>
      <c r="S50" s="18"/>
      <c r="T50" s="18"/>
      <c r="U50" s="18"/>
      <c r="V50" s="18"/>
      <c r="W50" s="18"/>
      <c r="X50" s="18"/>
    </row>
    <row r="51" spans="2:24" x14ac:dyDescent="0.2">
      <c r="B51" s="28" t="s">
        <v>56</v>
      </c>
      <c r="C51" s="28"/>
      <c r="D51" s="28"/>
      <c r="E51" s="18"/>
      <c r="F51" s="40">
        <f>SUM(F49:F50)</f>
        <v>421</v>
      </c>
      <c r="G51" s="40">
        <f>SUM(G49:G50)</f>
        <v>404</v>
      </c>
      <c r="H51" s="106"/>
      <c r="I51" s="40">
        <f>SUM(I49:I50)</f>
        <v>0</v>
      </c>
      <c r="J51" s="40">
        <f>SUM(J49:J50)</f>
        <v>0</v>
      </c>
      <c r="K51" s="40"/>
      <c r="L51" s="18"/>
      <c r="R51" s="18"/>
      <c r="S51" s="18"/>
      <c r="T51" s="18"/>
      <c r="U51" s="18"/>
      <c r="V51" s="18"/>
      <c r="W51" s="18"/>
      <c r="X51" s="18"/>
    </row>
    <row r="52" spans="2:24" s="33" customFormat="1" x14ac:dyDescent="0.2">
      <c r="B52" s="33" t="s">
        <v>9</v>
      </c>
      <c r="E52" s="61"/>
      <c r="F52" s="33">
        <f>F46+F51</f>
        <v>2416</v>
      </c>
      <c r="G52" s="33">
        <f>G46+G51</f>
        <v>2573</v>
      </c>
      <c r="H52" s="61"/>
      <c r="I52" s="33">
        <f>I46+I51</f>
        <v>0</v>
      </c>
      <c r="J52" s="33">
        <f>J46+J51</f>
        <v>0</v>
      </c>
      <c r="K52" s="37"/>
      <c r="L52" s="61"/>
      <c r="R52" s="61"/>
      <c r="S52" s="61"/>
      <c r="T52" s="61"/>
      <c r="U52" s="61"/>
      <c r="V52" s="61"/>
      <c r="W52" s="61"/>
      <c r="X52" s="61"/>
    </row>
    <row r="53" spans="2:24" s="38" customFormat="1" x14ac:dyDescent="0.2">
      <c r="B53" s="27" t="s">
        <v>29</v>
      </c>
      <c r="C53" s="27"/>
      <c r="D53" s="27"/>
      <c r="E53" s="20"/>
      <c r="F53" s="114">
        <f>F52/F27</f>
        <v>0.18608950165601171</v>
      </c>
      <c r="G53" s="115">
        <f>G52/G27</f>
        <v>0.19931830505848633</v>
      </c>
      <c r="H53" s="18"/>
      <c r="I53" s="115" t="e">
        <f>I52/I27</f>
        <v>#DIV/0!</v>
      </c>
      <c r="J53" s="115" t="e">
        <f>J52/J27</f>
        <v>#DIV/0!</v>
      </c>
      <c r="K53" s="55"/>
      <c r="L53" s="18"/>
      <c r="N53" s="27"/>
      <c r="O53" s="27"/>
      <c r="P53" s="27"/>
      <c r="Q53" s="27"/>
      <c r="R53" s="18"/>
      <c r="S53" s="18"/>
      <c r="T53" s="18"/>
      <c r="U53" s="18"/>
      <c r="V53" s="18"/>
      <c r="W53" s="18"/>
      <c r="X53" s="18"/>
    </row>
    <row r="54" spans="2:24" x14ac:dyDescent="0.2">
      <c r="E54" s="18"/>
      <c r="F54" s="26"/>
      <c r="G54" s="56"/>
      <c r="H54" s="18"/>
      <c r="I54" s="18"/>
      <c r="J54" s="18"/>
      <c r="K54" s="57"/>
      <c r="L54" s="18"/>
      <c r="R54" s="18"/>
      <c r="S54" s="18"/>
      <c r="T54" s="18"/>
      <c r="U54" s="18"/>
      <c r="V54" s="18"/>
      <c r="W54" s="18"/>
      <c r="X54" s="18"/>
    </row>
    <row r="55" spans="2:24" x14ac:dyDescent="0.2">
      <c r="B55" s="27" t="s">
        <v>57</v>
      </c>
      <c r="E55" s="18"/>
      <c r="F55" s="51">
        <v>927</v>
      </c>
      <c r="G55" s="41">
        <v>1674</v>
      </c>
      <c r="H55" s="18"/>
      <c r="I55" s="18"/>
      <c r="J55" s="18"/>
      <c r="K55" s="52"/>
      <c r="L55" s="18"/>
      <c r="R55" s="18"/>
      <c r="S55" s="18"/>
      <c r="T55" s="18"/>
      <c r="U55" s="18"/>
      <c r="V55" s="18"/>
      <c r="W55" s="18"/>
      <c r="X55" s="18"/>
    </row>
    <row r="56" spans="2:24" x14ac:dyDescent="0.2">
      <c r="B56" s="27" t="s">
        <v>58</v>
      </c>
      <c r="E56" s="18"/>
      <c r="F56" s="51">
        <v>233</v>
      </c>
      <c r="G56" s="41">
        <v>412</v>
      </c>
      <c r="H56" s="18"/>
      <c r="I56" s="18"/>
      <c r="J56" s="18"/>
      <c r="K56" s="52"/>
      <c r="L56" s="18"/>
      <c r="R56" s="18"/>
      <c r="S56" s="18"/>
      <c r="T56" s="18"/>
      <c r="U56" s="18"/>
      <c r="V56" s="18"/>
      <c r="W56" s="18"/>
      <c r="X56" s="18"/>
    </row>
    <row r="57" spans="2:24" s="38" customFormat="1" x14ac:dyDescent="0.2">
      <c r="B57" s="27" t="s">
        <v>59</v>
      </c>
      <c r="C57" s="27"/>
      <c r="D57" s="27"/>
      <c r="E57" s="20"/>
      <c r="F57" s="114">
        <f>F56/F55</f>
        <v>0.25134843581445521</v>
      </c>
      <c r="G57" s="115">
        <f>G56/G55</f>
        <v>0.24611708482676226</v>
      </c>
      <c r="H57" s="20"/>
      <c r="I57" s="20"/>
      <c r="J57" s="20"/>
      <c r="K57" s="55"/>
      <c r="L57" s="20"/>
      <c r="N57" s="27"/>
      <c r="O57" s="27"/>
      <c r="P57" s="27"/>
      <c r="Q57" s="27"/>
      <c r="R57" s="20"/>
      <c r="S57" s="20"/>
      <c r="T57" s="20"/>
      <c r="U57" s="20"/>
      <c r="V57" s="20"/>
      <c r="W57" s="20"/>
      <c r="X57" s="20"/>
    </row>
    <row r="58" spans="2:24" x14ac:dyDescent="0.2">
      <c r="B58" s="27" t="s">
        <v>60</v>
      </c>
      <c r="E58" s="18"/>
      <c r="F58" s="69">
        <v>0.35</v>
      </c>
      <c r="G58" s="69">
        <v>0.35</v>
      </c>
      <c r="H58" s="18"/>
      <c r="I58" s="18"/>
      <c r="J58" s="18"/>
      <c r="K58" s="70"/>
      <c r="L58" s="18"/>
      <c r="R58" s="18"/>
      <c r="S58" s="18"/>
      <c r="T58" s="18"/>
      <c r="U58" s="18"/>
      <c r="V58" s="18"/>
      <c r="W58" s="18"/>
      <c r="X58" s="18"/>
    </row>
    <row r="59" spans="2:24" x14ac:dyDescent="0.2">
      <c r="B59" s="27" t="s">
        <v>61</v>
      </c>
      <c r="E59" s="18"/>
      <c r="F59" s="69">
        <v>2.4E-2</v>
      </c>
      <c r="G59" s="93">
        <v>1.4E-2</v>
      </c>
      <c r="H59" s="18"/>
      <c r="I59" s="18"/>
      <c r="J59" s="18"/>
      <c r="K59" s="70"/>
      <c r="L59" s="18"/>
      <c r="R59" s="18"/>
      <c r="S59" s="18"/>
      <c r="T59" s="18"/>
      <c r="U59" s="18"/>
      <c r="V59" s="18"/>
      <c r="W59" s="18"/>
      <c r="X59" s="18"/>
    </row>
    <row r="60" spans="2:24" s="71" customFormat="1" x14ac:dyDescent="0.2">
      <c r="B60" s="33" t="s">
        <v>62</v>
      </c>
      <c r="C60" s="33"/>
      <c r="D60" s="33"/>
      <c r="E60" s="61"/>
      <c r="F60" s="117">
        <f>SUM(F58:F59)</f>
        <v>0.374</v>
      </c>
      <c r="G60" s="116">
        <f>SUM(G58:G59)</f>
        <v>0.36399999999999999</v>
      </c>
      <c r="H60" s="61"/>
      <c r="I60" s="61"/>
      <c r="J60" s="61"/>
      <c r="K60" s="72"/>
      <c r="L60" s="61"/>
      <c r="N60" s="33"/>
      <c r="O60" s="33"/>
      <c r="P60" s="33"/>
      <c r="Q60" s="33"/>
      <c r="R60" s="61"/>
      <c r="S60" s="61"/>
      <c r="T60" s="61"/>
      <c r="U60" s="61"/>
      <c r="V60" s="61"/>
      <c r="W60" s="61"/>
      <c r="X60" s="61"/>
    </row>
    <row r="61" spans="2:24" x14ac:dyDescent="0.2">
      <c r="E61" s="18"/>
      <c r="F61" s="26"/>
      <c r="G61" s="73"/>
      <c r="H61" s="18"/>
      <c r="I61" s="18"/>
      <c r="J61" s="18"/>
      <c r="K61" s="74"/>
      <c r="L61" s="18"/>
      <c r="R61" s="18"/>
      <c r="S61" s="18"/>
      <c r="T61" s="18"/>
      <c r="U61" s="18"/>
      <c r="V61" s="18"/>
      <c r="W61" s="18"/>
      <c r="X61" s="18"/>
    </row>
    <row r="62" spans="2:24" x14ac:dyDescent="0.2">
      <c r="B62" s="27" t="s">
        <v>63</v>
      </c>
      <c r="E62" s="18"/>
      <c r="F62" s="40">
        <f>F46*(1-F57)</f>
        <v>1493.5598705501618</v>
      </c>
      <c r="G62" s="40">
        <f>G46*(1-G57)</f>
        <v>1635.1720430107528</v>
      </c>
      <c r="H62" s="18"/>
      <c r="I62" s="18"/>
      <c r="J62" s="18"/>
      <c r="K62" s="74"/>
      <c r="L62" s="18"/>
      <c r="R62" s="18"/>
      <c r="S62" s="18"/>
      <c r="T62" s="18"/>
      <c r="U62" s="18"/>
      <c r="V62" s="18"/>
      <c r="W62" s="18"/>
      <c r="X62" s="18"/>
    </row>
    <row r="63" spans="2:24" x14ac:dyDescent="0.2">
      <c r="E63" s="18"/>
      <c r="F63" s="26"/>
      <c r="G63" s="73"/>
      <c r="H63" s="18"/>
      <c r="I63" s="18"/>
      <c r="J63" s="18"/>
      <c r="K63" s="74"/>
      <c r="L63" s="18"/>
      <c r="R63" s="18"/>
      <c r="S63" s="18"/>
      <c r="T63" s="18"/>
      <c r="U63" s="18"/>
      <c r="V63" s="18"/>
      <c r="W63" s="18"/>
      <c r="X63" s="18"/>
    </row>
    <row r="64" spans="2:24" x14ac:dyDescent="0.2">
      <c r="B64" s="27" t="s">
        <v>64</v>
      </c>
      <c r="C64" s="33"/>
      <c r="D64" s="33"/>
      <c r="E64" s="18"/>
      <c r="F64" s="41">
        <v>695</v>
      </c>
      <c r="G64" s="51">
        <v>1269</v>
      </c>
      <c r="H64" s="18"/>
      <c r="I64" s="18"/>
      <c r="J64" s="18"/>
      <c r="K64" s="59"/>
      <c r="L64" s="18"/>
      <c r="R64" s="18"/>
      <c r="S64" s="18"/>
      <c r="T64" s="18"/>
      <c r="U64" s="18"/>
      <c r="V64" s="18"/>
      <c r="W64" s="18"/>
      <c r="X64" s="18"/>
    </row>
    <row r="65" spans="2:24" s="38" customFormat="1" x14ac:dyDescent="0.2">
      <c r="B65" s="27" t="s">
        <v>65</v>
      </c>
      <c r="C65" s="27"/>
      <c r="D65" s="27"/>
      <c r="E65" s="20"/>
      <c r="F65" s="114">
        <f>F64/F27</f>
        <v>5.3531541246245089E-2</v>
      </c>
      <c r="G65" s="115">
        <f>G64/G27</f>
        <v>9.8303509179642104E-2</v>
      </c>
      <c r="H65" s="18"/>
      <c r="I65" s="18"/>
      <c r="J65" s="18"/>
      <c r="K65" s="55"/>
      <c r="L65" s="18"/>
      <c r="N65" s="27"/>
      <c r="O65" s="27"/>
      <c r="P65" s="27"/>
      <c r="Q65" s="27"/>
      <c r="R65" s="18"/>
      <c r="S65" s="18"/>
      <c r="T65" s="18"/>
      <c r="U65" s="18"/>
      <c r="V65" s="18"/>
      <c r="W65" s="18"/>
      <c r="X65" s="18"/>
    </row>
    <row r="66" spans="2:24" x14ac:dyDescent="0.2">
      <c r="B66" s="36" t="str">
        <f t="shared" ref="B66:B75" si="2">B36</f>
        <v>Mark-to-market</v>
      </c>
      <c r="C66" s="36"/>
      <c r="D66" s="36"/>
      <c r="E66" s="18"/>
      <c r="F66" s="51">
        <f>F36-59</f>
        <v>202</v>
      </c>
      <c r="G66" s="51">
        <f>G36+6</f>
        <v>-39</v>
      </c>
      <c r="H66" s="18"/>
      <c r="I66" s="18"/>
      <c r="J66" s="18"/>
      <c r="K66" s="59"/>
      <c r="L66" s="18"/>
      <c r="M66" s="95"/>
      <c r="R66" s="18"/>
      <c r="S66" s="18"/>
      <c r="T66" s="18"/>
      <c r="U66" s="18"/>
      <c r="V66" s="18"/>
      <c r="W66" s="18"/>
      <c r="X66" s="18"/>
    </row>
    <row r="67" spans="2:24" x14ac:dyDescent="0.2">
      <c r="B67" s="36" t="str">
        <f t="shared" si="2"/>
        <v>Project K and cost reduction activities</v>
      </c>
      <c r="C67" s="36"/>
      <c r="D67" s="36"/>
      <c r="E67" s="18"/>
      <c r="F67" s="51">
        <f>F37-85</f>
        <v>240</v>
      </c>
      <c r="G67" s="51">
        <f>G37-86</f>
        <v>177</v>
      </c>
      <c r="I67" s="28"/>
      <c r="K67" s="29"/>
      <c r="L67" s="18"/>
      <c r="M67" s="28"/>
    </row>
    <row r="68" spans="2:24" x14ac:dyDescent="0.2">
      <c r="B68" s="36" t="s">
        <v>134</v>
      </c>
      <c r="C68" s="36"/>
      <c r="D68" s="36"/>
      <c r="E68" s="18"/>
      <c r="F68" s="51">
        <f>153-54</f>
        <v>99</v>
      </c>
      <c r="G68" s="51">
        <v>0</v>
      </c>
      <c r="I68" s="28"/>
      <c r="K68" s="96"/>
      <c r="L68" s="18"/>
      <c r="M68" s="28"/>
    </row>
    <row r="69" spans="2:24" x14ac:dyDescent="0.2">
      <c r="B69" s="36" t="str">
        <f>B38</f>
        <v>Integration and transaction costs</v>
      </c>
      <c r="C69" s="36"/>
      <c r="D69" s="36"/>
      <c r="E69" s="18"/>
      <c r="F69" s="51">
        <f>12-3</f>
        <v>9</v>
      </c>
      <c r="G69" s="51">
        <f>G38-2</f>
        <v>3</v>
      </c>
      <c r="I69" s="28"/>
      <c r="K69" s="29"/>
      <c r="L69" s="18"/>
      <c r="M69" s="28"/>
    </row>
    <row r="70" spans="2:24" x14ac:dyDescent="0.2">
      <c r="B70" s="36" t="s">
        <v>135</v>
      </c>
      <c r="C70" s="36"/>
      <c r="D70" s="36"/>
      <c r="E70" s="18"/>
      <c r="F70" s="51">
        <v>0</v>
      </c>
      <c r="G70" s="51">
        <v>1</v>
      </c>
      <c r="I70" s="28"/>
      <c r="K70" s="52"/>
      <c r="L70" s="18"/>
      <c r="M70" s="28"/>
    </row>
    <row r="71" spans="2:24" x14ac:dyDescent="0.2">
      <c r="B71" s="36" t="str">
        <f>B39</f>
        <v>Venezuela adjustments</v>
      </c>
      <c r="C71" s="36"/>
      <c r="D71" s="36"/>
      <c r="E71" s="18"/>
      <c r="F71" s="51">
        <f>-9+72+11+1</f>
        <v>75</v>
      </c>
      <c r="G71" s="51">
        <v>0</v>
      </c>
      <c r="I71" s="28"/>
      <c r="K71" s="29"/>
      <c r="L71" s="18"/>
      <c r="M71" s="28"/>
    </row>
    <row r="72" spans="2:24" x14ac:dyDescent="0.2">
      <c r="B72" s="36" t="s">
        <v>136</v>
      </c>
      <c r="C72" s="36"/>
      <c r="D72" s="36"/>
      <c r="E72" s="18"/>
      <c r="F72" s="51">
        <v>0</v>
      </c>
      <c r="G72" s="51">
        <v>4</v>
      </c>
      <c r="I72" s="28"/>
      <c r="K72" s="29"/>
      <c r="L72" s="18"/>
      <c r="M72" s="28"/>
    </row>
    <row r="73" spans="2:24" x14ac:dyDescent="0.2">
      <c r="B73" s="36" t="str">
        <f t="shared" si="2"/>
        <v>Non-recurring item 8</v>
      </c>
      <c r="C73" s="36"/>
      <c r="D73" s="36"/>
      <c r="E73" s="18"/>
      <c r="F73" s="51">
        <v>0</v>
      </c>
      <c r="G73" s="51">
        <v>0</v>
      </c>
      <c r="I73" s="28"/>
      <c r="K73" s="29"/>
      <c r="L73" s="18"/>
      <c r="M73" s="28"/>
    </row>
    <row r="74" spans="2:24" x14ac:dyDescent="0.2">
      <c r="B74" s="36" t="str">
        <f t="shared" si="2"/>
        <v>Non-recurring item 9</v>
      </c>
      <c r="C74" s="36"/>
      <c r="D74" s="36"/>
      <c r="E74" s="18"/>
      <c r="F74" s="51">
        <v>0</v>
      </c>
      <c r="G74" s="51">
        <v>0</v>
      </c>
      <c r="I74" s="28"/>
      <c r="K74" s="29"/>
      <c r="L74" s="18"/>
      <c r="M74" s="28"/>
    </row>
    <row r="75" spans="2:24" x14ac:dyDescent="0.2">
      <c r="B75" s="36" t="str">
        <f t="shared" si="2"/>
        <v>Non-recurring item 10</v>
      </c>
      <c r="C75" s="36"/>
      <c r="D75" s="36"/>
      <c r="E75" s="18"/>
      <c r="F75" s="51">
        <v>0</v>
      </c>
      <c r="G75" s="51">
        <v>0</v>
      </c>
      <c r="I75" s="28"/>
      <c r="K75" s="29"/>
      <c r="L75" s="18"/>
      <c r="M75" s="28"/>
    </row>
    <row r="76" spans="2:24" s="33" customFormat="1" x14ac:dyDescent="0.2">
      <c r="B76" s="33" t="s">
        <v>67</v>
      </c>
      <c r="E76" s="61"/>
      <c r="F76" s="33">
        <f>F64+SUM(F66:F75)</f>
        <v>1320</v>
      </c>
      <c r="G76" s="33">
        <f>G64+SUM(G66:G75)</f>
        <v>1415</v>
      </c>
      <c r="H76" s="68"/>
      <c r="I76" s="37"/>
      <c r="K76" s="37"/>
      <c r="L76" s="61"/>
      <c r="M76" s="37"/>
    </row>
    <row r="77" spans="2:24" s="38" customFormat="1" x14ac:dyDescent="0.2">
      <c r="B77" s="27" t="s">
        <v>68</v>
      </c>
      <c r="C77" s="27"/>
      <c r="D77" s="27"/>
      <c r="E77" s="20"/>
      <c r="F77" s="114">
        <f>F76/F27</f>
        <v>0.10167141646768851</v>
      </c>
      <c r="G77" s="115">
        <f>G76/G27</f>
        <v>0.10961344798202804</v>
      </c>
      <c r="K77" s="55"/>
      <c r="L77" s="18"/>
      <c r="N77" s="27"/>
      <c r="O77" s="27"/>
      <c r="P77" s="27"/>
      <c r="Q77" s="27"/>
    </row>
    <row r="78" spans="2:24" x14ac:dyDescent="0.2">
      <c r="E78" s="18"/>
      <c r="F78" s="90"/>
      <c r="G78" s="90"/>
      <c r="K78" s="57"/>
      <c r="L78" s="18"/>
    </row>
    <row r="79" spans="2:24" x14ac:dyDescent="0.2">
      <c r="B79" s="27" t="s">
        <v>118</v>
      </c>
      <c r="E79" s="18"/>
      <c r="F79" s="51">
        <v>1</v>
      </c>
      <c r="G79" s="41">
        <v>0</v>
      </c>
      <c r="K79" s="57"/>
      <c r="L79" s="18"/>
    </row>
    <row r="80" spans="2:24" x14ac:dyDescent="0.2">
      <c r="B80" s="33" t="s">
        <v>119</v>
      </c>
      <c r="E80" s="18"/>
      <c r="F80" s="98">
        <f>F76-F79</f>
        <v>1319</v>
      </c>
      <c r="G80" s="98">
        <f>G76-G79</f>
        <v>1415</v>
      </c>
      <c r="K80" s="57"/>
      <c r="L80" s="18"/>
    </row>
    <row r="81" spans="1:12" x14ac:dyDescent="0.2">
      <c r="E81" s="18"/>
      <c r="F81" s="90"/>
      <c r="G81" s="90"/>
      <c r="K81" s="57"/>
      <c r="L81" s="18"/>
    </row>
    <row r="82" spans="1:12" x14ac:dyDescent="0.2">
      <c r="B82" s="27" t="s">
        <v>69</v>
      </c>
      <c r="E82" s="18"/>
      <c r="F82" s="51">
        <v>350</v>
      </c>
      <c r="G82" s="51">
        <v>348</v>
      </c>
      <c r="K82" s="59"/>
      <c r="L82" s="18"/>
    </row>
    <row r="83" spans="1:12" x14ac:dyDescent="0.2">
      <c r="B83" s="27" t="s">
        <v>70</v>
      </c>
      <c r="E83" s="18"/>
      <c r="F83" s="24">
        <f>F$80/F82</f>
        <v>3.7685714285714287</v>
      </c>
      <c r="G83" s="24">
        <f>G$80/G82</f>
        <v>4.0660919540229887</v>
      </c>
      <c r="H83" s="99"/>
      <c r="K83" s="75"/>
      <c r="L83" s="18"/>
    </row>
    <row r="84" spans="1:12" x14ac:dyDescent="0.2">
      <c r="B84" s="27" t="s">
        <v>71</v>
      </c>
      <c r="E84" s="18"/>
      <c r="F84" s="51">
        <v>354</v>
      </c>
      <c r="G84" s="51">
        <v>350</v>
      </c>
      <c r="K84" s="59"/>
      <c r="L84" s="18"/>
    </row>
    <row r="85" spans="1:12" x14ac:dyDescent="0.2">
      <c r="B85" s="27" t="s">
        <v>18</v>
      </c>
      <c r="E85" s="18"/>
      <c r="F85" s="24">
        <f>F$80/F84</f>
        <v>3.7259887005649719</v>
      </c>
      <c r="G85" s="24">
        <f>G$80/G84</f>
        <v>4.0428571428571427</v>
      </c>
      <c r="H85" s="99"/>
      <c r="K85" s="75"/>
      <c r="L85" s="18"/>
    </row>
    <row r="86" spans="1:12" x14ac:dyDescent="0.2">
      <c r="E86" s="18"/>
      <c r="F86" s="31"/>
      <c r="G86" s="24"/>
      <c r="K86" s="75"/>
      <c r="L86" s="18"/>
    </row>
    <row r="87" spans="1:12" ht="15" x14ac:dyDescent="0.25">
      <c r="A87" s="112" t="s">
        <v>72</v>
      </c>
      <c r="E87" s="18"/>
      <c r="F87" s="31"/>
      <c r="G87" s="24"/>
      <c r="K87" s="75"/>
      <c r="L87" s="18"/>
    </row>
    <row r="88" spans="1:12" x14ac:dyDescent="0.2">
      <c r="A88" s="33"/>
      <c r="B88" s="27" t="s">
        <v>73</v>
      </c>
      <c r="E88" s="18"/>
      <c r="F88" s="51">
        <v>2940</v>
      </c>
      <c r="G88" s="51">
        <v>3036</v>
      </c>
      <c r="K88" s="75"/>
      <c r="L88" s="18"/>
    </row>
    <row r="89" spans="1:12" x14ac:dyDescent="0.2">
      <c r="A89" s="33"/>
      <c r="B89" s="27" t="s">
        <v>74</v>
      </c>
      <c r="E89" s="18"/>
      <c r="F89" s="51">
        <v>4474</v>
      </c>
      <c r="G89" s="51">
        <v>4479</v>
      </c>
      <c r="K89" s="75"/>
      <c r="L89" s="18"/>
    </row>
    <row r="90" spans="1:12" s="33" customFormat="1" x14ac:dyDescent="0.2">
      <c r="B90" s="33" t="s">
        <v>75</v>
      </c>
      <c r="E90" s="61"/>
      <c r="F90" s="33">
        <f>F88-F89</f>
        <v>-1534</v>
      </c>
      <c r="G90" s="33">
        <f>G88-G89</f>
        <v>-1443</v>
      </c>
      <c r="K90" s="76"/>
      <c r="L90" s="61"/>
    </row>
    <row r="91" spans="1:12" x14ac:dyDescent="0.2">
      <c r="A91" s="33"/>
      <c r="E91" s="18"/>
      <c r="F91" s="31"/>
      <c r="G91" s="24"/>
      <c r="K91" s="75"/>
      <c r="L91" s="18"/>
    </row>
    <row r="92" spans="1:12" x14ac:dyDescent="0.2">
      <c r="B92" s="36" t="s">
        <v>137</v>
      </c>
      <c r="E92" s="18"/>
      <c r="F92" s="51">
        <v>1231</v>
      </c>
      <c r="G92" s="51">
        <v>1389</v>
      </c>
      <c r="K92" s="59"/>
      <c r="L92" s="18"/>
    </row>
    <row r="93" spans="1:12" x14ac:dyDescent="0.2">
      <c r="B93" s="36" t="s">
        <v>77</v>
      </c>
      <c r="E93" s="18"/>
      <c r="F93" s="51">
        <v>1238</v>
      </c>
      <c r="G93" s="51">
        <v>1217</v>
      </c>
      <c r="K93" s="59"/>
      <c r="L93" s="18"/>
    </row>
    <row r="94" spans="1:12" x14ac:dyDescent="0.2">
      <c r="B94" s="36" t="s">
        <v>78</v>
      </c>
      <c r="E94" s="18"/>
      <c r="F94" s="51">
        <v>191</v>
      </c>
      <c r="G94" s="51">
        <v>149</v>
      </c>
      <c r="K94" s="59"/>
      <c r="L94" s="18"/>
    </row>
    <row r="95" spans="1:12" x14ac:dyDescent="0.2">
      <c r="B95" s="36" t="s">
        <v>79</v>
      </c>
      <c r="E95" s="18"/>
      <c r="F95" s="51">
        <v>0</v>
      </c>
      <c r="G95" s="51">
        <v>0</v>
      </c>
      <c r="K95" s="59"/>
      <c r="L95" s="18"/>
    </row>
    <row r="96" spans="1:12" x14ac:dyDescent="0.2">
      <c r="B96" s="36" t="s">
        <v>80</v>
      </c>
      <c r="E96" s="18"/>
      <c r="F96" s="51">
        <v>0</v>
      </c>
      <c r="G96" s="51">
        <v>0</v>
      </c>
      <c r="K96" s="59"/>
      <c r="L96" s="18"/>
    </row>
    <row r="97" spans="1:17" x14ac:dyDescent="0.2">
      <c r="B97" s="36" t="s">
        <v>138</v>
      </c>
      <c r="E97" s="18"/>
      <c r="F97" s="51">
        <v>2014</v>
      </c>
      <c r="G97" s="51">
        <v>2269</v>
      </c>
      <c r="K97" s="59"/>
      <c r="L97" s="18"/>
    </row>
    <row r="98" spans="1:17" x14ac:dyDescent="0.2">
      <c r="B98" s="36" t="s">
        <v>123</v>
      </c>
      <c r="E98" s="18"/>
      <c r="F98" s="51">
        <v>1391</v>
      </c>
      <c r="G98" s="51">
        <v>1431</v>
      </c>
      <c r="K98" s="59"/>
      <c r="L98" s="18"/>
    </row>
    <row r="99" spans="1:17" x14ac:dyDescent="0.2">
      <c r="B99" s="36" t="s">
        <v>124</v>
      </c>
      <c r="E99" s="18"/>
      <c r="F99" s="51">
        <v>0</v>
      </c>
      <c r="G99" s="51">
        <v>0</v>
      </c>
      <c r="K99" s="59"/>
      <c r="L99" s="18"/>
    </row>
    <row r="100" spans="1:17" x14ac:dyDescent="0.2">
      <c r="B100" s="36" t="s">
        <v>84</v>
      </c>
      <c r="E100" s="18"/>
      <c r="F100" s="51">
        <v>0</v>
      </c>
      <c r="G100" s="51">
        <v>0</v>
      </c>
      <c r="K100" s="59"/>
      <c r="L100" s="18"/>
    </row>
    <row r="101" spans="1:17" x14ac:dyDescent="0.2">
      <c r="B101" s="36" t="s">
        <v>85</v>
      </c>
      <c r="E101" s="18"/>
      <c r="F101" s="51">
        <v>0</v>
      </c>
      <c r="G101" s="51">
        <v>0</v>
      </c>
      <c r="K101" s="59"/>
      <c r="L101" s="18"/>
    </row>
    <row r="102" spans="1:17" s="33" customFormat="1" x14ac:dyDescent="0.2">
      <c r="B102" s="33" t="s">
        <v>86</v>
      </c>
      <c r="E102" s="61"/>
      <c r="F102" s="33">
        <f>SUM(F92:F96)-SUM(F97:F101)</f>
        <v>-745</v>
      </c>
      <c r="G102" s="33">
        <f>SUM(G92:G96)-SUM(G97:G101)</f>
        <v>-945</v>
      </c>
      <c r="K102" s="77"/>
      <c r="L102" s="61"/>
    </row>
    <row r="103" spans="1:17" s="38" customFormat="1" x14ac:dyDescent="0.2">
      <c r="B103" s="27" t="s">
        <v>87</v>
      </c>
      <c r="C103" s="27"/>
      <c r="D103" s="27"/>
      <c r="E103" s="20"/>
      <c r="F103" s="115">
        <f>F102/F27</f>
        <v>-5.7382731263960561E-2</v>
      </c>
      <c r="G103" s="115">
        <f>G102/G27</f>
        <v>-7.3204740878456895E-2</v>
      </c>
      <c r="K103" s="55"/>
      <c r="L103" s="18"/>
      <c r="N103" s="27"/>
      <c r="O103" s="27"/>
      <c r="P103" s="27"/>
      <c r="Q103" s="27"/>
    </row>
    <row r="104" spans="1:17" s="38" customFormat="1" x14ac:dyDescent="0.2">
      <c r="B104" s="27" t="s">
        <v>88</v>
      </c>
      <c r="C104" s="27"/>
      <c r="D104" s="27"/>
      <c r="E104" s="20"/>
      <c r="F104" s="32">
        <f>F92/F27*365</f>
        <v>34.607948856196565</v>
      </c>
      <c r="G104" s="32">
        <f>G92/G27*365</f>
        <v>39.273762491285147</v>
      </c>
      <c r="K104" s="78"/>
      <c r="L104" s="19"/>
    </row>
    <row r="105" spans="1:17" s="38" customFormat="1" x14ac:dyDescent="0.2">
      <c r="B105" s="27" t="s">
        <v>89</v>
      </c>
      <c r="C105" s="27"/>
      <c r="D105" s="27"/>
      <c r="E105" s="20"/>
      <c r="F105" s="27">
        <f>F93/F30*365</f>
        <v>57.025492175668852</v>
      </c>
      <c r="G105" s="27">
        <f>G93/G30*365</f>
        <v>56.55780494015788</v>
      </c>
      <c r="K105" s="78"/>
      <c r="L105" s="19"/>
    </row>
    <row r="106" spans="1:17" s="38" customFormat="1" x14ac:dyDescent="0.2">
      <c r="B106" s="27" t="s">
        <v>90</v>
      </c>
      <c r="C106" s="27"/>
      <c r="D106" s="27"/>
      <c r="E106" s="20"/>
      <c r="F106" s="27">
        <f>F97/F30*365</f>
        <v>92.770065623422511</v>
      </c>
      <c r="G106" s="27">
        <f>G97/G30*365</f>
        <v>105.44754265342502</v>
      </c>
      <c r="K106" s="78"/>
      <c r="L106" s="19"/>
    </row>
    <row r="107" spans="1:17" x14ac:dyDescent="0.2">
      <c r="E107" s="18"/>
      <c r="G107" s="32"/>
      <c r="K107" s="29"/>
      <c r="L107" s="18"/>
    </row>
    <row r="108" spans="1:17" ht="15" x14ac:dyDescent="0.25">
      <c r="A108" s="112" t="s">
        <v>91</v>
      </c>
      <c r="E108" s="18"/>
      <c r="G108" s="29"/>
      <c r="K108" s="29"/>
      <c r="L108" s="18"/>
    </row>
    <row r="109" spans="1:17" x14ac:dyDescent="0.2">
      <c r="B109" s="27" t="s">
        <v>92</v>
      </c>
      <c r="E109" s="18"/>
      <c r="F109" s="51">
        <v>3569</v>
      </c>
      <c r="G109" s="51">
        <v>3716</v>
      </c>
      <c r="K109" s="59"/>
      <c r="L109" s="18"/>
    </row>
    <row r="110" spans="1:17" s="38" customFormat="1" x14ac:dyDescent="0.2">
      <c r="B110" s="27" t="s">
        <v>93</v>
      </c>
      <c r="C110" s="27"/>
      <c r="D110" s="27"/>
      <c r="E110" s="20"/>
      <c r="F110" s="114">
        <f>F109/F27</f>
        <v>0.27489794346453056</v>
      </c>
      <c r="G110" s="115">
        <f>G109/G27</f>
        <v>0.28786118212100087</v>
      </c>
      <c r="K110" s="55"/>
      <c r="L110" s="18"/>
      <c r="N110" s="27"/>
      <c r="O110" s="27"/>
      <c r="P110" s="27"/>
      <c r="Q110" s="27"/>
    </row>
    <row r="111" spans="1:17" x14ac:dyDescent="0.2">
      <c r="B111" s="27" t="s">
        <v>94</v>
      </c>
      <c r="E111" s="18"/>
      <c r="F111" s="51">
        <v>507</v>
      </c>
      <c r="G111" s="51">
        <v>501</v>
      </c>
      <c r="K111" s="59"/>
      <c r="L111" s="18"/>
    </row>
    <row r="112" spans="1:17" s="38" customFormat="1" x14ac:dyDescent="0.2">
      <c r="B112" s="27" t="s">
        <v>95</v>
      </c>
      <c r="C112" s="27"/>
      <c r="D112" s="27"/>
      <c r="E112" s="20"/>
      <c r="F112" s="31">
        <f>F111/F49</f>
        <v>1.2246376811594204</v>
      </c>
      <c r="G112" s="31">
        <f>G111/G49</f>
        <v>1.278061224489796</v>
      </c>
      <c r="K112" s="80"/>
      <c r="L112" s="18"/>
      <c r="N112" s="27"/>
      <c r="O112" s="27"/>
      <c r="P112" s="27"/>
      <c r="Q112" s="27"/>
    </row>
    <row r="113" spans="1:12" x14ac:dyDescent="0.2">
      <c r="E113" s="18"/>
      <c r="F113" s="31"/>
      <c r="G113" s="24"/>
      <c r="K113" s="75"/>
      <c r="L113" s="18"/>
    </row>
    <row r="114" spans="1:12" ht="15" x14ac:dyDescent="0.25">
      <c r="A114" s="112" t="s">
        <v>96</v>
      </c>
      <c r="E114" s="18"/>
      <c r="F114" s="31"/>
      <c r="G114" s="24"/>
      <c r="K114" s="75"/>
      <c r="L114" s="18"/>
    </row>
    <row r="115" spans="1:12" x14ac:dyDescent="0.2">
      <c r="B115" s="36" t="s">
        <v>98</v>
      </c>
      <c r="E115" s="18"/>
      <c r="F115" s="51">
        <v>6698</v>
      </c>
      <c r="G115" s="51">
        <v>7836</v>
      </c>
      <c r="K115" s="59"/>
      <c r="L115" s="18"/>
    </row>
    <row r="116" spans="1:12" x14ac:dyDescent="0.2">
      <c r="B116" s="36" t="s">
        <v>139</v>
      </c>
      <c r="E116" s="18"/>
      <c r="F116" s="51">
        <v>631</v>
      </c>
      <c r="G116" s="51">
        <v>409</v>
      </c>
      <c r="K116" s="59"/>
      <c r="L116" s="18"/>
    </row>
    <row r="117" spans="1:12" x14ac:dyDescent="0.2">
      <c r="B117" s="36" t="s">
        <v>140</v>
      </c>
      <c r="E117" s="18"/>
      <c r="F117" s="51">
        <v>438</v>
      </c>
      <c r="G117" s="51">
        <v>370</v>
      </c>
      <c r="K117" s="59"/>
      <c r="L117" s="18"/>
    </row>
    <row r="118" spans="1:12" x14ac:dyDescent="0.2">
      <c r="B118" s="36" t="s">
        <v>100</v>
      </c>
      <c r="E118" s="18"/>
      <c r="F118" s="51">
        <v>0</v>
      </c>
      <c r="G118" s="51">
        <v>0</v>
      </c>
      <c r="K118" s="59"/>
      <c r="L118" s="18"/>
    </row>
    <row r="119" spans="1:12" x14ac:dyDescent="0.2">
      <c r="B119" s="36" t="s">
        <v>101</v>
      </c>
      <c r="E119" s="18"/>
      <c r="F119" s="51">
        <v>0</v>
      </c>
      <c r="G119" s="51">
        <v>0</v>
      </c>
      <c r="K119" s="59"/>
      <c r="L119" s="18"/>
    </row>
    <row r="120" spans="1:12" s="33" customFormat="1" x14ac:dyDescent="0.2">
      <c r="B120" s="33" t="s">
        <v>17</v>
      </c>
      <c r="E120" s="61"/>
      <c r="F120" s="33">
        <f>SUM(F115:F119)</f>
        <v>7767</v>
      </c>
      <c r="G120" s="33">
        <f>SUM(G115:G119)</f>
        <v>8615</v>
      </c>
      <c r="K120" s="77"/>
      <c r="L120" s="61"/>
    </row>
    <row r="121" spans="1:12" x14ac:dyDescent="0.2">
      <c r="B121" s="27" t="s">
        <v>102</v>
      </c>
      <c r="E121" s="18"/>
      <c r="F121" s="51">
        <v>280</v>
      </c>
      <c r="G121" s="51">
        <v>281</v>
      </c>
      <c r="K121" s="59"/>
      <c r="L121" s="18"/>
    </row>
    <row r="122" spans="1:12" s="33" customFormat="1" x14ac:dyDescent="0.2">
      <c r="B122" s="33" t="s">
        <v>16</v>
      </c>
      <c r="E122" s="61"/>
      <c r="F122" s="33">
        <f>F120-F121</f>
        <v>7487</v>
      </c>
      <c r="G122" s="33">
        <f>G120-G121</f>
        <v>8334</v>
      </c>
      <c r="K122" s="37"/>
      <c r="L122" s="61"/>
    </row>
    <row r="123" spans="1:12" s="38" customFormat="1" x14ac:dyDescent="0.2">
      <c r="B123" s="27" t="s">
        <v>34</v>
      </c>
      <c r="C123" s="27"/>
      <c r="D123" s="27"/>
      <c r="E123" s="20"/>
      <c r="F123" s="31">
        <f>F120/F52</f>
        <v>3.2148178807947021</v>
      </c>
      <c r="G123" s="31">
        <f>G120/G52</f>
        <v>3.3482316362223088</v>
      </c>
      <c r="K123" s="80"/>
      <c r="L123" s="19"/>
    </row>
    <row r="124" spans="1:12" s="38" customFormat="1" x14ac:dyDescent="0.2">
      <c r="B124" s="27" t="s">
        <v>103</v>
      </c>
      <c r="C124" s="27"/>
      <c r="D124" s="27"/>
      <c r="E124" s="20"/>
      <c r="F124" s="31">
        <f>F122/F52</f>
        <v>3.0989238410596025</v>
      </c>
      <c r="G124" s="31">
        <f>G122/G52</f>
        <v>3.2390205985231248</v>
      </c>
      <c r="K124" s="80"/>
      <c r="L124" s="19"/>
    </row>
    <row r="125" spans="1:12" x14ac:dyDescent="0.2">
      <c r="B125" s="27" t="s">
        <v>104</v>
      </c>
      <c r="E125" s="18"/>
      <c r="F125" s="51">
        <v>5</v>
      </c>
      <c r="G125" s="51">
        <v>9</v>
      </c>
      <c r="H125" s="99"/>
      <c r="K125" s="59"/>
      <c r="L125" s="18"/>
    </row>
    <row r="126" spans="1:12" x14ac:dyDescent="0.2">
      <c r="B126" s="27" t="s">
        <v>105</v>
      </c>
      <c r="E126" s="18"/>
      <c r="F126" s="51">
        <f>406-153</f>
        <v>253</v>
      </c>
      <c r="G126" s="51">
        <v>256</v>
      </c>
      <c r="K126" s="59"/>
      <c r="L126" s="18"/>
    </row>
    <row r="127" spans="1:12" s="38" customFormat="1" x14ac:dyDescent="0.2">
      <c r="B127" s="27" t="s">
        <v>36</v>
      </c>
      <c r="C127" s="27"/>
      <c r="D127" s="27"/>
      <c r="E127" s="20"/>
      <c r="F127" s="27">
        <f>F52/F126</f>
        <v>9.5494071146245059</v>
      </c>
      <c r="G127" s="27">
        <f>G52/G126</f>
        <v>10.05078125</v>
      </c>
      <c r="K127" s="80"/>
      <c r="L127" s="19"/>
    </row>
    <row r="128" spans="1:12" x14ac:dyDescent="0.2">
      <c r="B128" s="27" t="s">
        <v>106</v>
      </c>
      <c r="E128" s="18"/>
      <c r="F128" s="51">
        <v>1926</v>
      </c>
      <c r="G128" s="51">
        <v>2228</v>
      </c>
      <c r="K128" s="59"/>
      <c r="L128" s="18"/>
    </row>
    <row r="129" spans="1:17" s="38" customFormat="1" x14ac:dyDescent="0.2">
      <c r="B129" s="27" t="s">
        <v>107</v>
      </c>
      <c r="C129" s="27"/>
      <c r="D129" s="27"/>
      <c r="E129" s="20"/>
      <c r="F129" s="114">
        <f>F120/F128</f>
        <v>4.0327102803738315</v>
      </c>
      <c r="G129" s="114">
        <f>G120/G128</f>
        <v>3.8666965888689409</v>
      </c>
      <c r="K129" s="81"/>
      <c r="L129" s="18"/>
      <c r="N129" s="27"/>
      <c r="O129" s="27"/>
      <c r="P129" s="27"/>
      <c r="Q129" s="27"/>
    </row>
    <row r="130" spans="1:17" s="38" customFormat="1" x14ac:dyDescent="0.2">
      <c r="E130" s="18"/>
      <c r="F130" s="53"/>
      <c r="G130" s="53"/>
      <c r="K130" s="81"/>
      <c r="L130" s="18"/>
      <c r="N130" s="27"/>
      <c r="O130" s="27"/>
      <c r="P130" s="27"/>
      <c r="Q130" s="27"/>
    </row>
    <row r="131" spans="1:17" s="38" customFormat="1" ht="15" x14ac:dyDescent="0.25">
      <c r="A131" s="112" t="s">
        <v>108</v>
      </c>
      <c r="E131" s="18"/>
      <c r="F131" s="53"/>
      <c r="G131" s="53"/>
      <c r="K131" s="81"/>
      <c r="L131" s="18"/>
      <c r="N131" s="27"/>
      <c r="O131" s="27"/>
      <c r="P131" s="27"/>
      <c r="Q131" s="27"/>
    </row>
    <row r="132" spans="1:17" s="38" customFormat="1" x14ac:dyDescent="0.2">
      <c r="B132" s="27" t="s">
        <v>15</v>
      </c>
      <c r="C132" s="27"/>
      <c r="D132" s="27"/>
      <c r="E132" s="20"/>
      <c r="F132" s="114">
        <f>F76/F128</f>
        <v>0.68535825545171336</v>
      </c>
      <c r="G132" s="114">
        <f>G76/G128</f>
        <v>0.63509874326750448</v>
      </c>
      <c r="K132" s="81"/>
      <c r="L132" s="18"/>
      <c r="N132" s="27"/>
      <c r="O132" s="27"/>
      <c r="P132" s="27"/>
      <c r="Q132" s="27"/>
    </row>
    <row r="133" spans="1:17" ht="15" x14ac:dyDescent="0.2">
      <c r="B133" s="82"/>
      <c r="C133" s="82"/>
      <c r="D133" s="82"/>
      <c r="E133" s="82"/>
      <c r="F133" s="82"/>
      <c r="G133" s="82"/>
      <c r="K133" s="83"/>
      <c r="L133" s="18"/>
    </row>
    <row r="134" spans="1:17" x14ac:dyDescent="0.2">
      <c r="B134" s="27" t="str">
        <f>B62</f>
        <v>NOPAT</v>
      </c>
      <c r="F134" s="27">
        <f>F62</f>
        <v>1493.5598705501618</v>
      </c>
      <c r="G134" s="27">
        <f>G62</f>
        <v>1635.1720430107528</v>
      </c>
      <c r="L134" s="18"/>
    </row>
    <row r="135" spans="1:17" x14ac:dyDescent="0.2">
      <c r="B135" s="27" t="str">
        <f>B128</f>
        <v>Equity - book value (inc. NCI)</v>
      </c>
      <c r="F135" s="27">
        <f>F128</f>
        <v>1926</v>
      </c>
      <c r="G135" s="27">
        <f>G128</f>
        <v>2228</v>
      </c>
      <c r="L135" s="18"/>
    </row>
    <row r="136" spans="1:17" x14ac:dyDescent="0.2">
      <c r="B136" s="27" t="str">
        <f>B122</f>
        <v>Net debt</v>
      </c>
      <c r="F136" s="27">
        <f>F122</f>
        <v>7487</v>
      </c>
      <c r="G136" s="27">
        <f>G122</f>
        <v>8334</v>
      </c>
      <c r="L136" s="18"/>
    </row>
    <row r="137" spans="1:17" x14ac:dyDescent="0.2">
      <c r="B137" s="27" t="s">
        <v>109</v>
      </c>
      <c r="F137" s="27">
        <f>SUM(F135:F136)</f>
        <v>9413</v>
      </c>
      <c r="G137" s="27">
        <f>SUM(G135:G136)</f>
        <v>10562</v>
      </c>
      <c r="L137" s="18"/>
    </row>
    <row r="138" spans="1:17" x14ac:dyDescent="0.2">
      <c r="B138" s="27" t="s">
        <v>14</v>
      </c>
      <c r="F138" s="114">
        <f>F134/F137</f>
        <v>0.15866991082015955</v>
      </c>
      <c r="G138" s="114">
        <f>G134/G137</f>
        <v>0.15481651609645453</v>
      </c>
      <c r="L138" s="18"/>
    </row>
    <row r="139" spans="1:17" x14ac:dyDescent="0.2">
      <c r="L139" s="18"/>
    </row>
  </sheetData>
  <printOptions headings="1" gridLines="1"/>
  <pageMargins left="0.74803149606299213" right="0.74803149606299213" top="0.98425196850393704" bottom="0.98425196850393704" header="0.51181102362204722" footer="0.51181102362204722"/>
  <pageSetup fitToHeight="0" orientation="landscape" r:id="rId1"/>
  <headerFooter alignWithMargins="0">
    <oddHeader>&amp;L&amp;8&amp;F &amp;A</oddHeader>
    <oddFooter>&amp;R &amp;8Page &amp;P of &amp;N&amp;L&amp;8© AMT Training 2008 - 2017</oddFooter>
  </headerFooter>
  <rowBreaks count="1" manualBreakCount="1">
    <brk id="61" max="17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39"/>
    <pageSetUpPr autoPageBreaks="0" fitToPage="1"/>
  </sheetPr>
  <dimension ref="A1:X139"/>
  <sheetViews>
    <sheetView showGridLines="0" zoomScaleNormal="100" workbookViewId="0"/>
  </sheetViews>
  <sheetFormatPr defaultColWidth="9.28515625" defaultRowHeight="12.75" x14ac:dyDescent="0.2"/>
  <cols>
    <col min="1" max="1" width="2.28515625" style="27" customWidth="1"/>
    <col min="2" max="2" width="47.85546875" style="27" customWidth="1"/>
    <col min="3" max="10" width="10.28515625" style="27" customWidth="1"/>
    <col min="11" max="11" width="10.28515625" style="28" customWidth="1"/>
    <col min="12" max="13" width="10.28515625" style="27" customWidth="1"/>
    <col min="14" max="14" width="12.5703125" style="27" bestFit="1" customWidth="1"/>
    <col min="15" max="15" width="12" style="27" bestFit="1" customWidth="1"/>
    <col min="16" max="16384" width="9.28515625" style="27"/>
  </cols>
  <sheetData>
    <row r="1" spans="1:19" ht="30" x14ac:dyDescent="0.45">
      <c r="A1" s="11" t="s">
        <v>141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9" s="111" customFormat="1" ht="15" customHeight="1" x14ac:dyDescent="0.25">
      <c r="A2" s="107"/>
      <c r="B2" s="107"/>
      <c r="C2" s="108" t="s">
        <v>20</v>
      </c>
      <c r="D2" s="108" t="s">
        <v>20</v>
      </c>
      <c r="E2" s="108" t="s">
        <v>20</v>
      </c>
      <c r="F2" s="108" t="s">
        <v>20</v>
      </c>
      <c r="G2" s="108" t="s">
        <v>20</v>
      </c>
      <c r="H2" s="108"/>
      <c r="I2" s="108" t="s">
        <v>21</v>
      </c>
      <c r="J2" s="108" t="s">
        <v>21</v>
      </c>
      <c r="K2" s="108" t="s">
        <v>22</v>
      </c>
      <c r="L2" s="108" t="s">
        <v>22</v>
      </c>
      <c r="M2" s="108" t="s">
        <v>22</v>
      </c>
      <c r="N2" s="109"/>
      <c r="O2" s="109"/>
      <c r="P2" s="109"/>
      <c r="Q2" s="109"/>
      <c r="R2" s="110"/>
      <c r="S2" s="110"/>
    </row>
    <row r="3" spans="1:19" s="6" customFormat="1" ht="19.5" thickBot="1" x14ac:dyDescent="0.35">
      <c r="A3" s="14" t="s">
        <v>23</v>
      </c>
      <c r="B3" s="15"/>
      <c r="C3" s="16">
        <f>EDATE(D3,-12)</f>
        <v>41639</v>
      </c>
      <c r="D3" s="16">
        <f>EDATE(E3,-12)</f>
        <v>42004</v>
      </c>
      <c r="E3" s="16">
        <f>EDATE(F3,-12)</f>
        <v>42369</v>
      </c>
      <c r="F3" s="16">
        <f>EDATE(G3,-12)</f>
        <v>42735</v>
      </c>
      <c r="G3" s="16">
        <v>43100</v>
      </c>
      <c r="H3" s="16" t="s">
        <v>11</v>
      </c>
      <c r="I3" s="16" t="s">
        <v>24</v>
      </c>
      <c r="J3" s="16" t="s">
        <v>25</v>
      </c>
      <c r="K3" s="16">
        <f>EDATE(G3,12)</f>
        <v>43465</v>
      </c>
      <c r="L3" s="16">
        <f>EDATE(K3,12)</f>
        <v>43830</v>
      </c>
      <c r="M3" s="16">
        <f>EDATE(L3,12)</f>
        <v>44196</v>
      </c>
      <c r="N3" s="16"/>
      <c r="O3" s="16"/>
      <c r="P3" s="16"/>
    </row>
    <row r="4" spans="1:19" ht="13.5" thickTop="1" x14ac:dyDescent="0.2"/>
    <row r="5" spans="1:19" ht="15" x14ac:dyDescent="0.25">
      <c r="A5" s="112" t="s">
        <v>26</v>
      </c>
      <c r="B5" s="38"/>
      <c r="C5" s="38"/>
      <c r="D5" s="38"/>
      <c r="E5" s="39"/>
      <c r="F5" s="39"/>
      <c r="G5" s="39"/>
      <c r="H5" s="39"/>
      <c r="I5" s="39"/>
      <c r="J5" s="39"/>
      <c r="K5" s="39"/>
      <c r="L5" s="39"/>
      <c r="M5" s="39"/>
    </row>
    <row r="6" spans="1:19" x14ac:dyDescent="0.2">
      <c r="A6" s="28"/>
      <c r="B6" s="28" t="s">
        <v>12</v>
      </c>
      <c r="C6" s="28">
        <f>C27</f>
        <v>92158</v>
      </c>
      <c r="D6" s="28">
        <f>D27</f>
        <v>91612</v>
      </c>
      <c r="E6" s="28">
        <f>E27</f>
        <v>88785</v>
      </c>
      <c r="F6" s="28">
        <f>F27</f>
        <v>89469</v>
      </c>
      <c r="G6" s="28">
        <f>G27</f>
        <v>89791</v>
      </c>
      <c r="H6" s="40">
        <f>G6-I6+J6</f>
        <v>89791</v>
      </c>
      <c r="I6" s="28">
        <f>I27</f>
        <v>0</v>
      </c>
      <c r="J6" s="28">
        <f>J27</f>
        <v>0</v>
      </c>
      <c r="K6" s="51"/>
      <c r="L6" s="51"/>
      <c r="M6" s="51"/>
    </row>
    <row r="7" spans="1:19" x14ac:dyDescent="0.2">
      <c r="A7" s="28"/>
      <c r="B7" s="28" t="s">
        <v>9</v>
      </c>
      <c r="C7" s="28"/>
      <c r="D7" s="28"/>
      <c r="E7" s="28"/>
      <c r="F7" s="28">
        <f>F52</f>
        <v>17439</v>
      </c>
      <c r="G7" s="28">
        <f>G52</f>
        <v>17956</v>
      </c>
      <c r="H7" s="40">
        <f>G7-I7+J7</f>
        <v>17956</v>
      </c>
      <c r="I7" s="28">
        <f>I52</f>
        <v>0</v>
      </c>
      <c r="J7" s="28">
        <f>J52</f>
        <v>0</v>
      </c>
      <c r="K7" s="51"/>
      <c r="L7" s="51"/>
      <c r="M7" s="51"/>
    </row>
    <row r="8" spans="1:19" x14ac:dyDescent="0.2">
      <c r="A8" s="28"/>
      <c r="B8" s="28" t="s">
        <v>10</v>
      </c>
      <c r="C8" s="28"/>
      <c r="D8" s="28"/>
      <c r="E8" s="28"/>
      <c r="F8" s="28">
        <f>F46</f>
        <v>14307</v>
      </c>
      <c r="G8" s="28">
        <f>G46</f>
        <v>14729</v>
      </c>
      <c r="H8" s="40">
        <f>G8-I8+J8</f>
        <v>14729</v>
      </c>
      <c r="I8" s="28">
        <f>I46</f>
        <v>0</v>
      </c>
      <c r="J8" s="28">
        <f>J46</f>
        <v>0</v>
      </c>
      <c r="K8" s="51"/>
      <c r="L8" s="51"/>
      <c r="M8" s="51"/>
    </row>
    <row r="9" spans="1:19" x14ac:dyDescent="0.2">
      <c r="A9" s="28"/>
      <c r="B9" s="28" t="s">
        <v>18</v>
      </c>
      <c r="C9" s="28"/>
      <c r="D9" s="28"/>
      <c r="E9" s="30"/>
      <c r="F9" s="30">
        <f>F85</f>
        <v>3.3987730061349692</v>
      </c>
      <c r="G9" s="30">
        <f>G85</f>
        <v>3.5506778566817303</v>
      </c>
      <c r="H9" s="43"/>
      <c r="I9" s="43"/>
      <c r="J9" s="43"/>
      <c r="K9" s="101"/>
      <c r="L9" s="101"/>
      <c r="M9" s="101"/>
    </row>
    <row r="10" spans="1:19" s="18" customFormat="1" x14ac:dyDescent="0.2">
      <c r="A10" s="35"/>
      <c r="B10" s="35"/>
      <c r="C10" s="35"/>
      <c r="D10" s="49"/>
      <c r="E10" s="49"/>
      <c r="F10" s="49"/>
      <c r="G10" s="49"/>
      <c r="H10" s="20"/>
      <c r="I10" s="20"/>
      <c r="J10" s="20"/>
      <c r="K10" s="20"/>
      <c r="L10" s="20"/>
      <c r="M10" s="20"/>
      <c r="N10" s="45" t="s">
        <v>13</v>
      </c>
      <c r="O10" s="45" t="s">
        <v>13</v>
      </c>
    </row>
    <row r="11" spans="1:19" s="18" customFormat="1" ht="15" x14ac:dyDescent="0.25">
      <c r="A11" s="113" t="s">
        <v>27</v>
      </c>
      <c r="B11" s="35"/>
      <c r="C11" s="35"/>
      <c r="D11" s="49"/>
      <c r="E11" s="49"/>
      <c r="F11" s="49"/>
      <c r="G11" s="28"/>
      <c r="H11" s="27"/>
      <c r="I11" s="27"/>
      <c r="J11" s="49"/>
      <c r="K11" s="49"/>
      <c r="L11" s="20"/>
      <c r="M11" s="20"/>
      <c r="N11" s="47" t="str">
        <f>TEXT(YEAR(C3),"0000")&amp;" - "&amp;TEXT(YEAR(G3),"0000")</f>
        <v>2013 - 2017</v>
      </c>
      <c r="O11" s="47" t="str">
        <f>TEXT(YEAR(G3),"0000")&amp;" - "&amp;TEXT(YEAR(M3),"0000")</f>
        <v>2017 - 2020</v>
      </c>
    </row>
    <row r="12" spans="1:19" s="18" customFormat="1" x14ac:dyDescent="0.2">
      <c r="A12" s="46"/>
      <c r="B12" s="35" t="s">
        <v>28</v>
      </c>
      <c r="C12" s="35"/>
      <c r="D12" s="48">
        <f>D28</f>
        <v>-5.9246077388832585E-3</v>
      </c>
      <c r="E12" s="48">
        <f>E28</f>
        <v>-3.0858402829323617E-2</v>
      </c>
      <c r="F12" s="48">
        <f>F28</f>
        <v>7.7040040547389221E-3</v>
      </c>
      <c r="G12" s="48">
        <f>G28</f>
        <v>3.5990119482725014E-3</v>
      </c>
      <c r="H12" s="27"/>
      <c r="I12" s="27"/>
      <c r="J12" s="49"/>
      <c r="K12" s="48">
        <f>K6/G6-1</f>
        <v>-1</v>
      </c>
      <c r="L12" s="48" t="e">
        <f>L6/K6-1</f>
        <v>#DIV/0!</v>
      </c>
      <c r="M12" s="48" t="e">
        <f>M6/L6-1</f>
        <v>#DIV/0!</v>
      </c>
      <c r="N12" s="48">
        <f>(G6/C6)^(1/4)-1</f>
        <v>-6.4838256371204661E-3</v>
      </c>
      <c r="O12" s="48">
        <f>(M6/G6)^(1/3)-1</f>
        <v>-1</v>
      </c>
    </row>
    <row r="13" spans="1:19" s="18" customFormat="1" x14ac:dyDescent="0.2">
      <c r="A13" s="46"/>
      <c r="B13" s="35" t="str">
        <f>B32</f>
        <v>Gross margin</v>
      </c>
      <c r="C13" s="35"/>
      <c r="D13" s="48"/>
      <c r="E13" s="48"/>
      <c r="F13" s="48">
        <f>F32</f>
        <v>0.50598531334875763</v>
      </c>
      <c r="G13" s="48">
        <f>G32</f>
        <v>0.49969373322493343</v>
      </c>
      <c r="H13" s="49"/>
      <c r="I13" s="48"/>
      <c r="J13" s="49"/>
      <c r="K13" s="49"/>
      <c r="L13" s="20"/>
      <c r="M13" s="20"/>
      <c r="N13" s="20"/>
      <c r="O13" s="20"/>
    </row>
    <row r="14" spans="1:19" x14ac:dyDescent="0.2">
      <c r="A14" s="28"/>
      <c r="B14" s="28" t="s">
        <v>29</v>
      </c>
      <c r="C14" s="28"/>
      <c r="D14" s="28"/>
      <c r="E14" s="28"/>
      <c r="F14" s="48">
        <f t="shared" ref="F14:M14" si="0">F7/F6</f>
        <v>0.19491667504945848</v>
      </c>
      <c r="G14" s="48">
        <f t="shared" si="0"/>
        <v>0.19997549865799469</v>
      </c>
      <c r="H14" s="48">
        <f t="shared" si="0"/>
        <v>0.19997549865799469</v>
      </c>
      <c r="I14" s="48" t="e">
        <f t="shared" si="0"/>
        <v>#DIV/0!</v>
      </c>
      <c r="J14" s="48" t="e">
        <f t="shared" si="0"/>
        <v>#DIV/0!</v>
      </c>
      <c r="K14" s="48" t="e">
        <f t="shared" si="0"/>
        <v>#DIV/0!</v>
      </c>
      <c r="L14" s="48" t="e">
        <f t="shared" si="0"/>
        <v>#DIV/0!</v>
      </c>
      <c r="M14" s="48" t="e">
        <f t="shared" si="0"/>
        <v>#DIV/0!</v>
      </c>
    </row>
    <row r="15" spans="1:19" s="18" customFormat="1" x14ac:dyDescent="0.2">
      <c r="A15" s="46"/>
      <c r="B15" s="35" t="s">
        <v>30</v>
      </c>
      <c r="C15" s="35"/>
      <c r="D15" s="49"/>
      <c r="E15" s="49"/>
      <c r="F15" s="48">
        <f t="shared" ref="F15:M15" si="1">F8/F6</f>
        <v>0.15991013647185059</v>
      </c>
      <c r="G15" s="48">
        <f t="shared" si="1"/>
        <v>0.16403648472564064</v>
      </c>
      <c r="H15" s="48">
        <f t="shared" si="1"/>
        <v>0.16403648472564064</v>
      </c>
      <c r="I15" s="48" t="e">
        <f t="shared" si="1"/>
        <v>#DIV/0!</v>
      </c>
      <c r="J15" s="48" t="e">
        <f t="shared" si="1"/>
        <v>#DIV/0!</v>
      </c>
      <c r="K15" s="48" t="e">
        <f t="shared" si="1"/>
        <v>#DIV/0!</v>
      </c>
      <c r="L15" s="48" t="e">
        <f t="shared" si="1"/>
        <v>#DIV/0!</v>
      </c>
      <c r="M15" s="48" t="e">
        <f t="shared" si="1"/>
        <v>#DIV/0!</v>
      </c>
      <c r="N15" s="20"/>
      <c r="O15" s="20"/>
    </row>
    <row r="16" spans="1:19" x14ac:dyDescent="0.2">
      <c r="A16" s="28"/>
      <c r="B16" s="28" t="s">
        <v>31</v>
      </c>
      <c r="C16" s="28"/>
      <c r="D16" s="28"/>
      <c r="E16" s="28"/>
      <c r="F16" s="48">
        <f>F103</f>
        <v>-2.9865092937218479E-2</v>
      </c>
      <c r="G16" s="48">
        <f>G103</f>
        <v>-2.5236382265483179E-2</v>
      </c>
      <c r="H16" s="28"/>
      <c r="I16" s="28"/>
      <c r="J16" s="28"/>
      <c r="L16" s="28"/>
      <c r="M16" s="28"/>
    </row>
    <row r="17" spans="1:17" x14ac:dyDescent="0.2">
      <c r="A17" s="28"/>
      <c r="B17" s="28" t="s">
        <v>32</v>
      </c>
      <c r="C17" s="28"/>
      <c r="D17" s="28"/>
      <c r="E17" s="28"/>
      <c r="F17" s="48">
        <f>F110</f>
        <v>0.30797259385932557</v>
      </c>
      <c r="G17" s="48">
        <f>G110</f>
        <v>0.30932944281720887</v>
      </c>
      <c r="H17" s="28"/>
      <c r="I17" s="28"/>
      <c r="J17" s="28"/>
      <c r="L17" s="28"/>
      <c r="M17" s="28"/>
    </row>
    <row r="18" spans="1:17" x14ac:dyDescent="0.2">
      <c r="A18" s="28"/>
      <c r="B18" s="28" t="s">
        <v>33</v>
      </c>
      <c r="C18" s="28"/>
      <c r="D18" s="28"/>
      <c r="E18" s="28"/>
      <c r="F18" s="28">
        <f>F112</f>
        <v>1.4347048300536673</v>
      </c>
      <c r="G18" s="28">
        <f>G112</f>
        <v>1.3788994041359972</v>
      </c>
      <c r="H18" s="28"/>
      <c r="I18" s="28"/>
      <c r="J18" s="28"/>
      <c r="L18" s="28"/>
      <c r="M18" s="28"/>
    </row>
    <row r="19" spans="1:17" x14ac:dyDescent="0.2">
      <c r="A19" s="28"/>
      <c r="B19" s="28" t="s">
        <v>34</v>
      </c>
      <c r="C19" s="28"/>
      <c r="D19" s="28"/>
      <c r="E19" s="28"/>
      <c r="F19" s="28">
        <f>F123</f>
        <v>1.3308675956190148</v>
      </c>
      <c r="G19" s="28">
        <f>G123</f>
        <v>1.4740476720873246</v>
      </c>
      <c r="H19" s="28"/>
      <c r="I19" s="28"/>
      <c r="J19" s="28"/>
      <c r="L19" s="28"/>
      <c r="M19" s="28"/>
    </row>
    <row r="20" spans="1:17" x14ac:dyDescent="0.2">
      <c r="A20" s="28"/>
      <c r="B20" s="28" t="s">
        <v>35</v>
      </c>
      <c r="C20" s="28"/>
      <c r="D20" s="28"/>
      <c r="E20" s="28"/>
      <c r="F20" s="28">
        <f>F124</f>
        <v>0.79780950742588452</v>
      </c>
      <c r="G20" s="28">
        <f>G124</f>
        <v>0.99548897304522166</v>
      </c>
      <c r="H20" s="28"/>
      <c r="I20" s="28"/>
      <c r="J20" s="28"/>
      <c r="L20" s="28"/>
      <c r="M20" s="28"/>
    </row>
    <row r="21" spans="1:17" x14ac:dyDescent="0.2">
      <c r="A21" s="28"/>
      <c r="B21" s="28" t="s">
        <v>36</v>
      </c>
      <c r="C21" s="28"/>
      <c r="D21" s="28"/>
      <c r="E21" s="28"/>
      <c r="F21" s="28">
        <f>F127</f>
        <v>32.116022099447513</v>
      </c>
      <c r="G21" s="28">
        <f>G127</f>
        <v>33.562616822429909</v>
      </c>
      <c r="H21" s="28"/>
      <c r="I21" s="28"/>
      <c r="J21" s="28"/>
      <c r="L21" s="28"/>
      <c r="M21" s="28"/>
    </row>
    <row r="22" spans="1:17" x14ac:dyDescent="0.2">
      <c r="A22" s="28"/>
      <c r="B22" s="28" t="str">
        <f>B129</f>
        <v>Total debt / equity</v>
      </c>
      <c r="C22" s="28"/>
      <c r="D22" s="28"/>
      <c r="E22" s="28"/>
      <c r="F22" s="48">
        <f>F129</f>
        <v>0.35175277731468152</v>
      </c>
      <c r="G22" s="48">
        <f>G129</f>
        <v>0.42161938289500933</v>
      </c>
      <c r="H22" s="28"/>
      <c r="I22" s="28"/>
      <c r="J22" s="28"/>
      <c r="L22" s="28"/>
      <c r="M22" s="28"/>
    </row>
    <row r="23" spans="1:17" x14ac:dyDescent="0.2">
      <c r="A23" s="28"/>
      <c r="B23" s="28" t="s">
        <v>14</v>
      </c>
      <c r="C23" s="28"/>
      <c r="D23" s="28"/>
      <c r="E23" s="28"/>
      <c r="F23" s="48">
        <f>F138</f>
        <v>0.11598544164743337</v>
      </c>
      <c r="G23" s="48">
        <f>G138</f>
        <v>0.12916236151610033</v>
      </c>
      <c r="H23" s="28"/>
      <c r="I23" s="28"/>
      <c r="J23" s="28"/>
      <c r="L23" s="28"/>
      <c r="M23" s="28"/>
    </row>
    <row r="24" spans="1:17" x14ac:dyDescent="0.2">
      <c r="A24" s="28"/>
      <c r="B24" s="28" t="s">
        <v>15</v>
      </c>
      <c r="C24" s="28"/>
      <c r="D24" s="28"/>
      <c r="E24" s="28"/>
      <c r="F24" s="48">
        <f>F132</f>
        <v>0.16486564313969174</v>
      </c>
      <c r="G24" s="48">
        <f>G132</f>
        <v>0.18087834716536311</v>
      </c>
      <c r="H24" s="28"/>
      <c r="I24" s="28"/>
      <c r="J24" s="28"/>
      <c r="L24" s="28"/>
      <c r="M24" s="28"/>
    </row>
    <row r="25" spans="1:17" x14ac:dyDescent="0.2">
      <c r="A25" s="28"/>
      <c r="B25" s="28"/>
      <c r="C25" s="28"/>
      <c r="D25" s="28"/>
      <c r="E25" s="28"/>
      <c r="F25" s="28"/>
      <c r="G25" s="28"/>
      <c r="I25" s="28"/>
      <c r="J25" s="28"/>
      <c r="L25" s="28"/>
    </row>
    <row r="26" spans="1:17" ht="15" x14ac:dyDescent="0.25">
      <c r="A26" s="112" t="s">
        <v>37</v>
      </c>
      <c r="L26" s="28"/>
    </row>
    <row r="27" spans="1:17" x14ac:dyDescent="0.2">
      <c r="B27" s="27" t="s">
        <v>12</v>
      </c>
      <c r="C27" s="51">
        <f>92158</f>
        <v>92158</v>
      </c>
      <c r="D27" s="51">
        <f>91612</f>
        <v>91612</v>
      </c>
      <c r="E27" s="51">
        <f>88785</f>
        <v>88785</v>
      </c>
      <c r="F27" s="51">
        <f>89469</f>
        <v>89469</v>
      </c>
      <c r="G27" s="51">
        <v>89791</v>
      </c>
      <c r="I27" s="51">
        <v>0</v>
      </c>
      <c r="J27" s="51">
        <v>0</v>
      </c>
      <c r="K27" s="52"/>
    </row>
    <row r="28" spans="1:17" s="38" customFormat="1" x14ac:dyDescent="0.2">
      <c r="B28" s="27" t="s">
        <v>38</v>
      </c>
      <c r="C28" s="114"/>
      <c r="D28" s="114">
        <f>D27/C27-1</f>
        <v>-5.9246077388832585E-3</v>
      </c>
      <c r="E28" s="114">
        <f>E27/D27-1</f>
        <v>-3.0858402829323617E-2</v>
      </c>
      <c r="F28" s="114">
        <f>F27/E27-1</f>
        <v>7.7040040547389221E-3</v>
      </c>
      <c r="G28" s="115">
        <f>G27/F27-1</f>
        <v>3.5990119482725014E-3</v>
      </c>
      <c r="H28" s="20"/>
      <c r="I28" s="115"/>
      <c r="J28" s="115"/>
      <c r="K28" s="55"/>
      <c r="N28" s="27"/>
      <c r="O28" s="27"/>
      <c r="P28" s="27"/>
      <c r="Q28" s="27"/>
    </row>
    <row r="29" spans="1:17" x14ac:dyDescent="0.2">
      <c r="E29" s="18"/>
      <c r="F29" s="26"/>
      <c r="G29" s="56"/>
      <c r="H29" s="18"/>
      <c r="I29" s="56"/>
      <c r="J29" s="56"/>
      <c r="K29" s="57"/>
    </row>
    <row r="30" spans="1:17" x14ac:dyDescent="0.2">
      <c r="B30" s="27" t="s">
        <v>39</v>
      </c>
      <c r="E30" s="18"/>
      <c r="F30" s="58">
        <f>44199</f>
        <v>44199</v>
      </c>
      <c r="G30" s="58">
        <v>44923</v>
      </c>
      <c r="I30" s="58">
        <v>0</v>
      </c>
      <c r="J30" s="58">
        <v>0</v>
      </c>
      <c r="K30" s="59"/>
      <c r="L30" s="18"/>
    </row>
    <row r="31" spans="1:17" s="33" customFormat="1" x14ac:dyDescent="0.2">
      <c r="B31" s="33" t="s">
        <v>40</v>
      </c>
      <c r="E31" s="61"/>
      <c r="F31" s="33">
        <f>F27-F30</f>
        <v>45270</v>
      </c>
      <c r="G31" s="33">
        <f>G27-G30</f>
        <v>44868</v>
      </c>
      <c r="I31" s="33">
        <f>I27-I30</f>
        <v>0</v>
      </c>
      <c r="J31" s="33">
        <f>J27-J30</f>
        <v>0</v>
      </c>
      <c r="K31" s="62"/>
      <c r="L31" s="61"/>
    </row>
    <row r="32" spans="1:17" x14ac:dyDescent="0.2">
      <c r="B32" s="27" t="s">
        <v>41</v>
      </c>
      <c r="E32" s="20"/>
      <c r="F32" s="114">
        <f>F31/F27</f>
        <v>0.50598531334875763</v>
      </c>
      <c r="G32" s="114">
        <f>G31/G27</f>
        <v>0.49969373322493343</v>
      </c>
      <c r="H32" s="20"/>
      <c r="I32" s="114" t="e">
        <f>I31/I27</f>
        <v>#DIV/0!</v>
      </c>
      <c r="J32" s="114" t="e">
        <f>J31/J27</f>
        <v>#DIV/0!</v>
      </c>
      <c r="K32" s="57"/>
    </row>
    <row r="33" spans="2:24" x14ac:dyDescent="0.2">
      <c r="E33" s="18"/>
      <c r="F33" s="56"/>
      <c r="G33" s="56"/>
      <c r="H33" s="18"/>
      <c r="I33" s="56"/>
      <c r="J33" s="56"/>
      <c r="K33" s="57"/>
    </row>
    <row r="34" spans="2:24" x14ac:dyDescent="0.2">
      <c r="B34" s="27" t="s">
        <v>42</v>
      </c>
      <c r="C34" s="33"/>
      <c r="D34" s="33"/>
      <c r="E34" s="18"/>
      <c r="F34" s="58">
        <f>13163</f>
        <v>13163</v>
      </c>
      <c r="G34" s="58">
        <v>10112</v>
      </c>
      <c r="H34" s="18"/>
      <c r="I34" s="51">
        <v>0</v>
      </c>
      <c r="J34" s="51">
        <v>0</v>
      </c>
      <c r="K34" s="52"/>
    </row>
    <row r="35" spans="2:24" s="38" customFormat="1" x14ac:dyDescent="0.2">
      <c r="B35" s="27" t="s">
        <v>43</v>
      </c>
      <c r="C35" s="27"/>
      <c r="D35" s="27"/>
      <c r="E35" s="20"/>
      <c r="F35" s="115">
        <f>F34/F27</f>
        <v>0.14712358470531692</v>
      </c>
      <c r="G35" s="115">
        <f>G34/G27</f>
        <v>0.11261707743537772</v>
      </c>
      <c r="H35" s="20"/>
      <c r="I35" s="115" t="e">
        <f>I34/I27</f>
        <v>#DIV/0!</v>
      </c>
      <c r="J35" s="115" t="e">
        <f>J34/J27</f>
        <v>#DIV/0!</v>
      </c>
      <c r="K35" s="55"/>
    </row>
    <row r="36" spans="2:24" x14ac:dyDescent="0.2">
      <c r="B36" s="36" t="s">
        <v>142</v>
      </c>
      <c r="C36" s="36"/>
      <c r="D36" s="36"/>
      <c r="E36" s="18"/>
      <c r="F36" s="41">
        <v>-99</v>
      </c>
      <c r="G36" s="41">
        <v>-111</v>
      </c>
      <c r="H36" s="18"/>
      <c r="I36" s="51">
        <v>0</v>
      </c>
      <c r="J36" s="51">
        <v>0</v>
      </c>
      <c r="K36" s="59"/>
    </row>
    <row r="37" spans="2:24" x14ac:dyDescent="0.2">
      <c r="B37" s="36" t="s">
        <v>143</v>
      </c>
      <c r="C37" s="36"/>
      <c r="D37" s="36"/>
      <c r="E37" s="18"/>
      <c r="F37" s="41">
        <f>713</f>
        <v>713</v>
      </c>
      <c r="G37" s="41">
        <v>1607</v>
      </c>
      <c r="H37" s="18"/>
      <c r="I37" s="51">
        <v>0</v>
      </c>
      <c r="J37" s="51">
        <v>0</v>
      </c>
      <c r="K37" s="59"/>
    </row>
    <row r="38" spans="2:24" x14ac:dyDescent="0.2">
      <c r="B38" s="36" t="s">
        <v>144</v>
      </c>
      <c r="C38" s="36"/>
      <c r="D38" s="36"/>
      <c r="E38" s="18"/>
      <c r="F38" s="51">
        <v>-354</v>
      </c>
      <c r="G38" s="51">
        <v>-379</v>
      </c>
      <c r="H38" s="18"/>
      <c r="I38" s="51">
        <v>0</v>
      </c>
      <c r="J38" s="51">
        <v>0</v>
      </c>
      <c r="K38" s="64"/>
      <c r="L38" s="18"/>
    </row>
    <row r="39" spans="2:24" x14ac:dyDescent="0.2">
      <c r="B39" s="36" t="s">
        <v>145</v>
      </c>
      <c r="C39" s="36"/>
      <c r="D39" s="36"/>
      <c r="E39" s="18"/>
      <c r="F39" s="51">
        <v>884</v>
      </c>
      <c r="G39" s="51">
        <v>3500</v>
      </c>
      <c r="H39" s="18"/>
      <c r="I39" s="51">
        <v>0</v>
      </c>
      <c r="J39" s="51">
        <v>0</v>
      </c>
      <c r="K39" s="64"/>
      <c r="L39" s="18"/>
    </row>
    <row r="40" spans="2:24" x14ac:dyDescent="0.2">
      <c r="B40" s="65" t="s">
        <v>115</v>
      </c>
      <c r="C40" s="36"/>
      <c r="D40" s="36"/>
      <c r="E40" s="18"/>
      <c r="F40" s="51">
        <v>0</v>
      </c>
      <c r="G40" s="51">
        <v>0</v>
      </c>
      <c r="H40" s="18"/>
      <c r="I40" s="51">
        <v>0</v>
      </c>
      <c r="J40" s="51">
        <v>0</v>
      </c>
      <c r="K40" s="64"/>
      <c r="L40" s="18"/>
    </row>
    <row r="41" spans="2:24" x14ac:dyDescent="0.2">
      <c r="B41" s="65" t="s">
        <v>49</v>
      </c>
      <c r="C41" s="65"/>
      <c r="D41" s="65"/>
      <c r="E41" s="18"/>
      <c r="F41" s="51">
        <v>0</v>
      </c>
      <c r="G41" s="51">
        <v>0</v>
      </c>
      <c r="H41" s="18"/>
      <c r="I41" s="51">
        <v>0</v>
      </c>
      <c r="J41" s="51">
        <v>0</v>
      </c>
      <c r="K41" s="64"/>
      <c r="L41" s="18"/>
    </row>
    <row r="42" spans="2:24" x14ac:dyDescent="0.2">
      <c r="B42" s="36" t="s">
        <v>50</v>
      </c>
      <c r="C42" s="36"/>
      <c r="D42" s="36"/>
      <c r="E42" s="18"/>
      <c r="F42" s="51">
        <v>0</v>
      </c>
      <c r="G42" s="51">
        <v>0</v>
      </c>
      <c r="H42" s="18"/>
      <c r="I42" s="51">
        <v>0</v>
      </c>
      <c r="J42" s="51">
        <v>0</v>
      </c>
      <c r="K42" s="64"/>
      <c r="L42" s="18"/>
    </row>
    <row r="43" spans="2:24" x14ac:dyDescent="0.2">
      <c r="B43" s="36" t="s">
        <v>51</v>
      </c>
      <c r="C43" s="36"/>
      <c r="D43" s="36"/>
      <c r="E43" s="18"/>
      <c r="F43" s="51">
        <v>0</v>
      </c>
      <c r="G43" s="51">
        <v>0</v>
      </c>
      <c r="H43" s="18"/>
      <c r="I43" s="51">
        <v>0</v>
      </c>
      <c r="J43" s="51">
        <v>0</v>
      </c>
      <c r="K43" s="64"/>
      <c r="L43" s="18"/>
    </row>
    <row r="44" spans="2:24" x14ac:dyDescent="0.2">
      <c r="B44" s="36" t="s">
        <v>52</v>
      </c>
      <c r="C44" s="36"/>
      <c r="D44" s="36"/>
      <c r="E44" s="18"/>
      <c r="F44" s="51">
        <v>0</v>
      </c>
      <c r="G44" s="51">
        <v>0</v>
      </c>
      <c r="H44" s="18"/>
      <c r="I44" s="51">
        <v>0</v>
      </c>
      <c r="J44" s="51">
        <v>0</v>
      </c>
      <c r="K44" s="64"/>
      <c r="L44" s="18"/>
    </row>
    <row r="45" spans="2:24" x14ac:dyDescent="0.2">
      <c r="B45" s="36" t="s">
        <v>53</v>
      </c>
      <c r="C45" s="36"/>
      <c r="D45" s="36"/>
      <c r="E45" s="18"/>
      <c r="F45" s="51">
        <v>0</v>
      </c>
      <c r="G45" s="51">
        <v>0</v>
      </c>
      <c r="H45" s="18"/>
      <c r="I45" s="51">
        <v>0</v>
      </c>
      <c r="J45" s="51">
        <v>0</v>
      </c>
      <c r="K45" s="52"/>
      <c r="L45" s="18"/>
    </row>
    <row r="46" spans="2:24" s="33" customFormat="1" x14ac:dyDescent="0.2">
      <c r="B46" s="33" t="s">
        <v>10</v>
      </c>
      <c r="E46" s="61"/>
      <c r="F46" s="33">
        <f>F34+SUM(F36:F45)</f>
        <v>14307</v>
      </c>
      <c r="G46" s="33">
        <f>G34+SUM(G36:G45)</f>
        <v>14729</v>
      </c>
      <c r="H46" s="61"/>
      <c r="I46" s="33">
        <f>I34+SUM(I36:I45)</f>
        <v>0</v>
      </c>
      <c r="J46" s="33">
        <f>J34+SUM(J36:J45)</f>
        <v>0</v>
      </c>
      <c r="K46" s="37"/>
      <c r="L46" s="61"/>
    </row>
    <row r="47" spans="2:24" s="38" customFormat="1" x14ac:dyDescent="0.2">
      <c r="B47" s="27" t="s">
        <v>30</v>
      </c>
      <c r="C47" s="27"/>
      <c r="D47" s="27"/>
      <c r="E47" s="20"/>
      <c r="F47" s="115">
        <f>F46/F27</f>
        <v>0.15991013647185059</v>
      </c>
      <c r="G47" s="115">
        <f>G46/G27</f>
        <v>0.16403648472564064</v>
      </c>
      <c r="H47" s="20"/>
      <c r="I47" s="115" t="e">
        <f>I46/I27</f>
        <v>#DIV/0!</v>
      </c>
      <c r="J47" s="115" t="e">
        <f>J46/J27</f>
        <v>#DIV/0!</v>
      </c>
      <c r="K47" s="55"/>
      <c r="L47" s="18"/>
      <c r="N47" s="27"/>
      <c r="O47" s="27"/>
      <c r="P47" s="27"/>
      <c r="Q47" s="27"/>
    </row>
    <row r="48" spans="2:24" x14ac:dyDescent="0.2">
      <c r="E48" s="18"/>
      <c r="F48" s="56"/>
      <c r="G48" s="56"/>
      <c r="H48" s="18"/>
      <c r="I48" s="56"/>
      <c r="J48" s="56"/>
      <c r="K48" s="57"/>
      <c r="L48" s="18"/>
      <c r="R48" s="18"/>
      <c r="S48" s="18"/>
      <c r="T48" s="18"/>
      <c r="U48" s="18"/>
      <c r="V48" s="18"/>
      <c r="W48" s="18"/>
      <c r="X48" s="18"/>
    </row>
    <row r="49" spans="2:24" x14ac:dyDescent="0.2">
      <c r="B49" s="27" t="s">
        <v>54</v>
      </c>
      <c r="E49" s="18"/>
      <c r="F49" s="41">
        <f>2795</f>
        <v>2795</v>
      </c>
      <c r="G49" s="41">
        <v>2853</v>
      </c>
      <c r="H49" s="18"/>
      <c r="I49" s="51">
        <v>0</v>
      </c>
      <c r="J49" s="51">
        <v>0</v>
      </c>
      <c r="K49" s="52"/>
      <c r="L49" s="18"/>
      <c r="R49" s="18"/>
      <c r="S49" s="18"/>
      <c r="T49" s="18"/>
      <c r="U49" s="18"/>
      <c r="V49" s="18"/>
      <c r="W49" s="18"/>
      <c r="X49" s="18"/>
    </row>
    <row r="50" spans="2:24" x14ac:dyDescent="0.2">
      <c r="B50" s="27" t="s">
        <v>55</v>
      </c>
      <c r="E50" s="18"/>
      <c r="F50" s="41">
        <v>337</v>
      </c>
      <c r="G50" s="41">
        <v>374</v>
      </c>
      <c r="H50" s="18"/>
      <c r="I50" s="51">
        <v>0</v>
      </c>
      <c r="J50" s="51">
        <v>0</v>
      </c>
      <c r="K50" s="52"/>
      <c r="L50" s="18"/>
      <c r="R50" s="18"/>
      <c r="S50" s="18"/>
      <c r="T50" s="18"/>
      <c r="U50" s="18"/>
      <c r="V50" s="18"/>
      <c r="W50" s="18"/>
      <c r="X50" s="18"/>
    </row>
    <row r="51" spans="2:24" x14ac:dyDescent="0.2">
      <c r="B51" s="28" t="s">
        <v>56</v>
      </c>
      <c r="C51" s="28"/>
      <c r="D51" s="28"/>
      <c r="E51" s="18"/>
      <c r="F51" s="40">
        <f>SUM(F49:F50)</f>
        <v>3132</v>
      </c>
      <c r="G51" s="40">
        <f>SUM(G49:G50)</f>
        <v>3227</v>
      </c>
      <c r="H51" s="35"/>
      <c r="I51" s="40">
        <f>SUM(I49:I50)</f>
        <v>0</v>
      </c>
      <c r="J51" s="40">
        <f>SUM(J49:J50)</f>
        <v>0</v>
      </c>
      <c r="K51" s="40"/>
      <c r="L51" s="18"/>
      <c r="R51" s="18"/>
      <c r="S51" s="18"/>
      <c r="T51" s="18"/>
      <c r="U51" s="18"/>
      <c r="V51" s="18"/>
      <c r="W51" s="18"/>
      <c r="X51" s="18"/>
    </row>
    <row r="52" spans="2:24" s="33" customFormat="1" x14ac:dyDescent="0.2">
      <c r="B52" s="33" t="s">
        <v>9</v>
      </c>
      <c r="E52" s="61"/>
      <c r="F52" s="33">
        <f>F46+F51</f>
        <v>17439</v>
      </c>
      <c r="G52" s="33">
        <f>G46+G51</f>
        <v>17956</v>
      </c>
      <c r="H52" s="61"/>
      <c r="I52" s="33">
        <f>I46+I51</f>
        <v>0</v>
      </c>
      <c r="J52" s="33">
        <f>J46+J51</f>
        <v>0</v>
      </c>
      <c r="K52" s="37"/>
      <c r="L52" s="61"/>
      <c r="R52" s="61"/>
      <c r="S52" s="61"/>
      <c r="T52" s="61"/>
      <c r="U52" s="61"/>
      <c r="V52" s="61"/>
      <c r="W52" s="61"/>
      <c r="X52" s="61"/>
    </row>
    <row r="53" spans="2:24" s="38" customFormat="1" x14ac:dyDescent="0.2">
      <c r="B53" s="27" t="s">
        <v>29</v>
      </c>
      <c r="C53" s="27"/>
      <c r="D53" s="27"/>
      <c r="E53" s="20"/>
      <c r="F53" s="115">
        <f>F52/F27</f>
        <v>0.19491667504945848</v>
      </c>
      <c r="G53" s="115">
        <f>G52/G27</f>
        <v>0.19997549865799469</v>
      </c>
      <c r="H53" s="20"/>
      <c r="I53" s="115" t="e">
        <f>I52/I27</f>
        <v>#DIV/0!</v>
      </c>
      <c r="J53" s="115" t="e">
        <f>J52/J27</f>
        <v>#DIV/0!</v>
      </c>
      <c r="K53" s="55"/>
      <c r="L53" s="18"/>
      <c r="N53" s="27"/>
      <c r="O53" s="27"/>
      <c r="P53" s="27"/>
      <c r="Q53" s="27"/>
      <c r="R53" s="18"/>
      <c r="S53" s="18"/>
      <c r="T53" s="18"/>
      <c r="U53" s="18"/>
      <c r="V53" s="18"/>
      <c r="W53" s="18"/>
      <c r="X53" s="18"/>
    </row>
    <row r="54" spans="2:24" x14ac:dyDescent="0.2">
      <c r="E54" s="18"/>
      <c r="F54" s="56"/>
      <c r="G54" s="56"/>
      <c r="H54" s="18"/>
      <c r="I54" s="18"/>
      <c r="J54" s="18"/>
      <c r="K54" s="57"/>
      <c r="L54" s="18"/>
      <c r="R54" s="18"/>
      <c r="S54" s="18"/>
      <c r="T54" s="18"/>
      <c r="U54" s="18"/>
      <c r="V54" s="18"/>
      <c r="W54" s="18"/>
      <c r="X54" s="18"/>
    </row>
    <row r="55" spans="2:24" x14ac:dyDescent="0.2">
      <c r="B55" s="27" t="s">
        <v>57</v>
      </c>
      <c r="E55" s="18"/>
      <c r="F55" s="51">
        <f>12526</f>
        <v>12526</v>
      </c>
      <c r="G55" s="51">
        <v>9493</v>
      </c>
      <c r="H55" s="18"/>
      <c r="I55" s="18"/>
      <c r="J55" s="18"/>
      <c r="K55" s="52"/>
      <c r="L55" s="18"/>
      <c r="R55" s="18"/>
      <c r="S55" s="18"/>
      <c r="T55" s="18"/>
      <c r="U55" s="18"/>
      <c r="V55" s="18"/>
      <c r="W55" s="18"/>
      <c r="X55" s="18"/>
    </row>
    <row r="56" spans="2:24" x14ac:dyDescent="0.2">
      <c r="B56" s="32" t="s">
        <v>58</v>
      </c>
      <c r="E56" s="18"/>
      <c r="F56" s="51">
        <f>4413</f>
        <v>4413</v>
      </c>
      <c r="G56" s="51">
        <v>2779</v>
      </c>
      <c r="H56" s="18"/>
      <c r="I56" s="18"/>
      <c r="J56" s="18"/>
      <c r="K56" s="52"/>
      <c r="L56" s="18"/>
      <c r="R56" s="18"/>
      <c r="S56" s="18"/>
      <c r="T56" s="18"/>
      <c r="U56" s="18"/>
      <c r="V56" s="18"/>
      <c r="W56" s="18"/>
      <c r="X56" s="18"/>
    </row>
    <row r="57" spans="2:24" s="38" customFormat="1" x14ac:dyDescent="0.2">
      <c r="B57" s="27" t="s">
        <v>59</v>
      </c>
      <c r="C57" s="27"/>
      <c r="D57" s="27"/>
      <c r="E57" s="20"/>
      <c r="F57" s="115">
        <f>F56/F55</f>
        <v>0.35230720102187452</v>
      </c>
      <c r="G57" s="115">
        <f>G56/G55</f>
        <v>0.29274202043611081</v>
      </c>
      <c r="H57" s="20"/>
      <c r="I57" s="20"/>
      <c r="J57" s="20"/>
      <c r="K57" s="55"/>
      <c r="L57" s="20"/>
      <c r="N57" s="27"/>
      <c r="O57" s="27"/>
      <c r="P57" s="27"/>
      <c r="Q57" s="27"/>
      <c r="R57" s="20"/>
      <c r="S57" s="20"/>
      <c r="T57" s="20"/>
      <c r="U57" s="20"/>
      <c r="V57" s="20"/>
      <c r="W57" s="20"/>
      <c r="X57" s="20"/>
    </row>
    <row r="58" spans="2:24" x14ac:dyDescent="0.2">
      <c r="B58" s="32" t="s">
        <v>60</v>
      </c>
      <c r="E58" s="18"/>
      <c r="F58" s="69">
        <f>3331/F55</f>
        <v>0.26592687210601945</v>
      </c>
      <c r="G58" s="69">
        <f>3163/G55</f>
        <v>0.33319287896344674</v>
      </c>
      <c r="H58" s="18"/>
      <c r="I58" s="18"/>
      <c r="J58" s="18"/>
      <c r="K58" s="70"/>
      <c r="L58" s="18"/>
      <c r="R58" s="18"/>
      <c r="S58" s="18"/>
      <c r="T58" s="18"/>
      <c r="U58" s="18"/>
      <c r="V58" s="18"/>
      <c r="W58" s="18"/>
      <c r="X58" s="18"/>
    </row>
    <row r="59" spans="2:24" x14ac:dyDescent="0.2">
      <c r="B59" s="27" t="s">
        <v>61</v>
      </c>
      <c r="E59" s="18"/>
      <c r="F59" s="69">
        <v>0</v>
      </c>
      <c r="G59" s="69">
        <v>0</v>
      </c>
      <c r="H59" s="18"/>
      <c r="I59" s="18"/>
      <c r="J59" s="18"/>
      <c r="K59" s="70"/>
      <c r="L59" s="18"/>
      <c r="R59" s="18"/>
      <c r="S59" s="18"/>
      <c r="T59" s="18"/>
      <c r="U59" s="18"/>
      <c r="V59" s="18"/>
      <c r="W59" s="18"/>
      <c r="X59" s="18"/>
    </row>
    <row r="60" spans="2:24" s="71" customFormat="1" x14ac:dyDescent="0.2">
      <c r="B60" s="33" t="s">
        <v>62</v>
      </c>
      <c r="C60" s="33"/>
      <c r="D60" s="33"/>
      <c r="E60" s="61"/>
      <c r="F60" s="116">
        <f>SUM(F58:F59)</f>
        <v>0.26592687210601945</v>
      </c>
      <c r="G60" s="116">
        <f>SUM(G58:G59)</f>
        <v>0.33319287896344674</v>
      </c>
      <c r="H60" s="61"/>
      <c r="I60" s="61"/>
      <c r="J60" s="61"/>
      <c r="K60" s="72"/>
      <c r="L60" s="61"/>
      <c r="N60" s="33"/>
      <c r="O60" s="33"/>
      <c r="P60" s="33"/>
      <c r="Q60" s="33"/>
      <c r="R60" s="61"/>
      <c r="S60" s="61"/>
      <c r="T60" s="61"/>
      <c r="U60" s="61"/>
      <c r="V60" s="61"/>
      <c r="W60" s="61"/>
      <c r="X60" s="61"/>
    </row>
    <row r="61" spans="2:24" x14ac:dyDescent="0.2">
      <c r="E61" s="18"/>
      <c r="F61" s="73"/>
      <c r="G61" s="73"/>
      <c r="H61" s="18"/>
      <c r="I61" s="18"/>
      <c r="J61" s="18"/>
      <c r="K61" s="74"/>
      <c r="L61" s="18"/>
      <c r="R61" s="18"/>
      <c r="S61" s="18"/>
      <c r="T61" s="18"/>
      <c r="U61" s="18"/>
      <c r="V61" s="18"/>
      <c r="W61" s="18"/>
      <c r="X61" s="18"/>
    </row>
    <row r="62" spans="2:24" x14ac:dyDescent="0.2">
      <c r="B62" s="27" t="s">
        <v>63</v>
      </c>
      <c r="E62" s="20"/>
      <c r="F62" s="40">
        <f>F46*(1-F57)</f>
        <v>9266.5408749800408</v>
      </c>
      <c r="G62" s="40">
        <f>G46*(1-G57)</f>
        <v>10417.202780996524</v>
      </c>
      <c r="H62" s="20"/>
      <c r="I62" s="20"/>
      <c r="J62" s="20"/>
      <c r="K62" s="74"/>
      <c r="L62" s="20"/>
      <c r="R62" s="20"/>
      <c r="S62" s="20"/>
      <c r="T62" s="20"/>
      <c r="U62" s="20"/>
      <c r="V62" s="20"/>
      <c r="W62" s="20"/>
      <c r="X62" s="20"/>
    </row>
    <row r="63" spans="2:24" x14ac:dyDescent="0.2">
      <c r="E63" s="18"/>
      <c r="F63" s="73"/>
      <c r="G63" s="73"/>
      <c r="H63" s="18"/>
      <c r="I63" s="18"/>
      <c r="J63" s="18"/>
      <c r="K63" s="74"/>
      <c r="L63" s="18"/>
      <c r="R63" s="18"/>
      <c r="S63" s="18"/>
      <c r="T63" s="18"/>
      <c r="U63" s="18"/>
      <c r="V63" s="18"/>
      <c r="W63" s="18"/>
      <c r="X63" s="18"/>
    </row>
    <row r="64" spans="2:24" x14ac:dyDescent="0.2">
      <c r="B64" s="27" t="s">
        <v>64</v>
      </c>
      <c r="C64" s="33"/>
      <c r="D64" s="33"/>
      <c r="E64" s="18"/>
      <c r="F64" s="51">
        <f>8883</f>
        <v>8883</v>
      </c>
      <c r="G64" s="51">
        <v>7538</v>
      </c>
      <c r="H64" s="18"/>
      <c r="I64" s="18"/>
      <c r="J64" s="18"/>
      <c r="K64" s="59"/>
      <c r="L64" s="18"/>
      <c r="R64" s="18"/>
      <c r="S64" s="18"/>
      <c r="T64" s="18"/>
      <c r="U64" s="18"/>
      <c r="V64" s="18"/>
      <c r="W64" s="18"/>
      <c r="X64" s="18"/>
    </row>
    <row r="65" spans="2:24" s="38" customFormat="1" x14ac:dyDescent="0.2">
      <c r="B65" s="27" t="s">
        <v>65</v>
      </c>
      <c r="C65" s="27"/>
      <c r="D65" s="27"/>
      <c r="E65" s="20"/>
      <c r="F65" s="115">
        <f>F64/F27</f>
        <v>9.9285786138215468E-2</v>
      </c>
      <c r="G65" s="115">
        <f>G64/G27</f>
        <v>8.395050728914924E-2</v>
      </c>
      <c r="H65" s="18"/>
      <c r="I65" s="18"/>
      <c r="J65" s="18"/>
      <c r="K65" s="55"/>
      <c r="L65" s="18"/>
      <c r="N65" s="27"/>
      <c r="O65" s="27"/>
      <c r="P65" s="27"/>
      <c r="Q65" s="27"/>
      <c r="R65" s="18"/>
      <c r="S65" s="18"/>
      <c r="T65" s="18"/>
      <c r="U65" s="18"/>
      <c r="V65" s="18"/>
      <c r="W65" s="18"/>
      <c r="X65" s="18"/>
    </row>
    <row r="66" spans="2:24" x14ac:dyDescent="0.2">
      <c r="B66" s="27" t="s">
        <v>146</v>
      </c>
      <c r="C66" s="36"/>
      <c r="D66" s="36"/>
      <c r="E66" s="18"/>
      <c r="F66" s="94">
        <f>SUM(F36:F39)</f>
        <v>1144</v>
      </c>
      <c r="G66" s="94">
        <f>SUM(G36:G39)</f>
        <v>4617</v>
      </c>
      <c r="H66" s="18"/>
      <c r="I66" s="18"/>
      <c r="J66" s="18"/>
      <c r="K66" s="59"/>
      <c r="L66" s="18"/>
      <c r="M66" s="95"/>
      <c r="R66" s="18"/>
      <c r="S66" s="18"/>
      <c r="T66" s="18"/>
      <c r="U66" s="18"/>
      <c r="V66" s="18"/>
      <c r="W66" s="18"/>
      <c r="X66" s="18"/>
    </row>
    <row r="67" spans="2:24" x14ac:dyDescent="0.2">
      <c r="B67" s="36" t="s">
        <v>147</v>
      </c>
      <c r="C67" s="36"/>
      <c r="D67" s="36"/>
      <c r="E67" s="18"/>
      <c r="F67" s="51">
        <v>610</v>
      </c>
      <c r="G67" s="51">
        <v>-1065</v>
      </c>
      <c r="I67" s="28"/>
      <c r="K67" s="29"/>
      <c r="L67" s="18"/>
      <c r="M67" s="28"/>
    </row>
    <row r="68" spans="2:24" x14ac:dyDescent="0.2">
      <c r="B68" s="36" t="s">
        <v>148</v>
      </c>
      <c r="C68" s="36"/>
      <c r="D68" s="36"/>
      <c r="E68" s="18"/>
      <c r="F68" s="51">
        <v>241</v>
      </c>
      <c r="G68" s="51">
        <v>265</v>
      </c>
      <c r="I68" s="28"/>
      <c r="K68" s="96"/>
      <c r="L68" s="18"/>
      <c r="M68" s="28"/>
    </row>
    <row r="69" spans="2:24" x14ac:dyDescent="0.2">
      <c r="B69" s="36" t="s">
        <v>114</v>
      </c>
      <c r="C69" s="36"/>
      <c r="D69" s="36"/>
      <c r="E69" s="18"/>
      <c r="F69" s="51">
        <v>0</v>
      </c>
      <c r="G69" s="51">
        <v>0</v>
      </c>
      <c r="I69" s="28"/>
      <c r="K69" s="29"/>
      <c r="L69" s="18"/>
      <c r="M69" s="28"/>
    </row>
    <row r="70" spans="2:24" x14ac:dyDescent="0.2">
      <c r="B70" s="36" t="s">
        <v>115</v>
      </c>
      <c r="C70" s="36"/>
      <c r="D70" s="36"/>
      <c r="E70" s="18"/>
      <c r="F70" s="51">
        <v>0</v>
      </c>
      <c r="G70" s="51">
        <v>0</v>
      </c>
      <c r="I70" s="28"/>
      <c r="K70" s="52"/>
      <c r="L70" s="18"/>
      <c r="M70" s="28"/>
    </row>
    <row r="71" spans="2:24" x14ac:dyDescent="0.2">
      <c r="B71" s="36" t="s">
        <v>49</v>
      </c>
      <c r="C71" s="36"/>
      <c r="D71" s="36"/>
      <c r="E71" s="18"/>
      <c r="F71" s="51">
        <v>0</v>
      </c>
      <c r="G71" s="51">
        <v>0</v>
      </c>
      <c r="I71" s="28"/>
      <c r="K71" s="29"/>
      <c r="L71" s="18"/>
      <c r="M71" s="28"/>
    </row>
    <row r="72" spans="2:24" x14ac:dyDescent="0.2">
      <c r="B72" s="36" t="s">
        <v>50</v>
      </c>
      <c r="C72" s="36"/>
      <c r="D72" s="36"/>
      <c r="E72" s="18"/>
      <c r="F72" s="51">
        <v>0</v>
      </c>
      <c r="G72" s="51">
        <v>0</v>
      </c>
      <c r="I72" s="28"/>
      <c r="K72" s="29"/>
      <c r="L72" s="18"/>
      <c r="M72" s="28"/>
    </row>
    <row r="73" spans="2:24" x14ac:dyDescent="0.2">
      <c r="B73" s="36" t="s">
        <v>51</v>
      </c>
      <c r="C73" s="36"/>
      <c r="D73" s="36"/>
      <c r="E73" s="18"/>
      <c r="F73" s="51">
        <v>0</v>
      </c>
      <c r="G73" s="51">
        <v>0</v>
      </c>
      <c r="I73" s="28"/>
      <c r="K73" s="29"/>
      <c r="L73" s="18"/>
      <c r="M73" s="28"/>
    </row>
    <row r="74" spans="2:24" x14ac:dyDescent="0.2">
      <c r="B74" s="36" t="s">
        <v>52</v>
      </c>
      <c r="C74" s="36"/>
      <c r="D74" s="36"/>
      <c r="E74" s="18"/>
      <c r="F74" s="51">
        <v>0</v>
      </c>
      <c r="G74" s="51">
        <v>0</v>
      </c>
      <c r="I74" s="28"/>
      <c r="K74" s="29"/>
      <c r="L74" s="18"/>
      <c r="M74" s="28"/>
    </row>
    <row r="75" spans="2:24" x14ac:dyDescent="0.2">
      <c r="B75" s="36" t="s">
        <v>53</v>
      </c>
      <c r="C75" s="36"/>
      <c r="D75" s="36"/>
      <c r="E75" s="18"/>
      <c r="F75" s="51">
        <v>0</v>
      </c>
      <c r="G75" s="51">
        <v>0</v>
      </c>
      <c r="I75" s="28"/>
      <c r="K75" s="29"/>
      <c r="L75" s="18"/>
      <c r="M75" s="28"/>
    </row>
    <row r="76" spans="2:24" x14ac:dyDescent="0.2">
      <c r="B76" s="33" t="s">
        <v>67</v>
      </c>
      <c r="C76" s="33"/>
      <c r="D76" s="33"/>
      <c r="E76" s="18"/>
      <c r="F76" s="33">
        <f>F64+SUM(F66:F75)</f>
        <v>10878</v>
      </c>
      <c r="G76" s="33">
        <f>G64+SUM(G66:G75)</f>
        <v>11355</v>
      </c>
      <c r="I76" s="28"/>
      <c r="L76" s="18"/>
      <c r="M76" s="28"/>
    </row>
    <row r="77" spans="2:24" s="38" customFormat="1" x14ac:dyDescent="0.2">
      <c r="B77" s="27" t="s">
        <v>68</v>
      </c>
      <c r="C77" s="27"/>
      <c r="D77" s="27"/>
      <c r="E77" s="20"/>
      <c r="F77" s="115">
        <f>F76/F27</f>
        <v>0.12158401233946954</v>
      </c>
      <c r="G77" s="115">
        <f>G76/G27</f>
        <v>0.12646033566838547</v>
      </c>
      <c r="K77" s="55"/>
      <c r="L77" s="18"/>
      <c r="N77" s="27"/>
      <c r="O77" s="27"/>
      <c r="P77" s="27"/>
      <c r="Q77" s="27"/>
    </row>
    <row r="78" spans="2:24" x14ac:dyDescent="0.2">
      <c r="E78" s="18"/>
      <c r="F78" s="56"/>
      <c r="G78" s="56"/>
      <c r="K78" s="57"/>
      <c r="L78" s="18"/>
    </row>
    <row r="79" spans="2:24" x14ac:dyDescent="0.2">
      <c r="B79" s="27" t="s">
        <v>118</v>
      </c>
      <c r="E79" s="18"/>
      <c r="F79" s="51">
        <v>352</v>
      </c>
      <c r="G79" s="51">
        <v>355</v>
      </c>
      <c r="K79" s="57"/>
      <c r="L79" s="18"/>
    </row>
    <row r="80" spans="2:24" x14ac:dyDescent="0.2">
      <c r="B80" s="33" t="s">
        <v>119</v>
      </c>
      <c r="E80" s="18"/>
      <c r="F80" s="98">
        <f>F76-F79</f>
        <v>10526</v>
      </c>
      <c r="G80" s="98">
        <f>G76-G79</f>
        <v>11000</v>
      </c>
      <c r="K80" s="57"/>
      <c r="L80" s="18"/>
    </row>
    <row r="81" spans="1:12" x14ac:dyDescent="0.2">
      <c r="E81" s="18"/>
      <c r="F81" s="56"/>
      <c r="G81" s="56"/>
      <c r="K81" s="57"/>
      <c r="L81" s="18"/>
    </row>
    <row r="82" spans="1:12" x14ac:dyDescent="0.2">
      <c r="B82" s="27" t="s">
        <v>69</v>
      </c>
      <c r="E82" s="18"/>
      <c r="F82" s="51">
        <f>3091</f>
        <v>3091</v>
      </c>
      <c r="G82" s="51">
        <f>3092</f>
        <v>3092</v>
      </c>
      <c r="K82" s="59"/>
      <c r="L82" s="18"/>
    </row>
    <row r="83" spans="1:12" x14ac:dyDescent="0.2">
      <c r="B83" s="27" t="s">
        <v>70</v>
      </c>
      <c r="E83" s="18"/>
      <c r="F83" s="24">
        <f>F$80/F82</f>
        <v>3.4053704302814625</v>
      </c>
      <c r="G83" s="24">
        <f>G$80/G82</f>
        <v>3.557567917205692</v>
      </c>
      <c r="K83" s="75"/>
      <c r="L83" s="18"/>
    </row>
    <row r="84" spans="1:12" x14ac:dyDescent="0.2">
      <c r="B84" s="27" t="s">
        <v>71</v>
      </c>
      <c r="E84" s="18"/>
      <c r="F84" s="51">
        <f>3097</f>
        <v>3097</v>
      </c>
      <c r="G84" s="51">
        <f>3098</f>
        <v>3098</v>
      </c>
      <c r="K84" s="59"/>
      <c r="L84" s="18"/>
    </row>
    <row r="85" spans="1:12" x14ac:dyDescent="0.2">
      <c r="B85" s="27" t="s">
        <v>18</v>
      </c>
      <c r="E85" s="18"/>
      <c r="F85" s="24">
        <f>F$80/F84</f>
        <v>3.3987730061349692</v>
      </c>
      <c r="G85" s="24">
        <f>G$80/G84</f>
        <v>3.5506778566817303</v>
      </c>
      <c r="K85" s="75"/>
      <c r="L85" s="18"/>
    </row>
    <row r="86" spans="1:12" x14ac:dyDescent="0.2">
      <c r="E86" s="18"/>
      <c r="F86" s="24"/>
      <c r="G86" s="24"/>
      <c r="K86" s="75"/>
      <c r="L86" s="18"/>
    </row>
    <row r="87" spans="1:12" ht="15" x14ac:dyDescent="0.25">
      <c r="A87" s="112" t="s">
        <v>72</v>
      </c>
      <c r="E87" s="18"/>
      <c r="F87" s="24"/>
      <c r="G87" s="24"/>
      <c r="K87" s="75"/>
      <c r="L87" s="18"/>
    </row>
    <row r="88" spans="1:12" x14ac:dyDescent="0.2">
      <c r="A88" s="33"/>
      <c r="B88" s="27" t="s">
        <v>73</v>
      </c>
      <c r="E88" s="18"/>
      <c r="F88" s="51">
        <v>29434</v>
      </c>
      <c r="G88" s="51">
        <f>32042</f>
        <v>32042</v>
      </c>
      <c r="K88" s="75"/>
      <c r="L88" s="18"/>
    </row>
    <row r="89" spans="1:12" x14ac:dyDescent="0.2">
      <c r="A89" s="33"/>
      <c r="B89" s="27" t="s">
        <v>74</v>
      </c>
      <c r="E89" s="18"/>
      <c r="F89" s="51">
        <v>33321</v>
      </c>
      <c r="G89" s="51">
        <f>37517</f>
        <v>37517</v>
      </c>
      <c r="K89" s="75"/>
      <c r="L89" s="18"/>
    </row>
    <row r="90" spans="1:12" s="33" customFormat="1" x14ac:dyDescent="0.2">
      <c r="B90" s="33" t="s">
        <v>75</v>
      </c>
      <c r="E90" s="61"/>
      <c r="F90" s="33">
        <f>F88-F89</f>
        <v>-3887</v>
      </c>
      <c r="G90" s="33">
        <f>G88-G89</f>
        <v>-5475</v>
      </c>
      <c r="K90" s="76"/>
      <c r="L90" s="61"/>
    </row>
    <row r="91" spans="1:12" x14ac:dyDescent="0.2">
      <c r="A91" s="33"/>
      <c r="E91" s="18"/>
      <c r="F91" s="24"/>
      <c r="G91" s="24"/>
      <c r="K91" s="75"/>
      <c r="L91" s="18"/>
    </row>
    <row r="92" spans="1:12" x14ac:dyDescent="0.2">
      <c r="B92" s="36" t="s">
        <v>77</v>
      </c>
      <c r="E92" s="18"/>
      <c r="F92" s="51">
        <v>8401</v>
      </c>
      <c r="G92" s="51">
        <v>9061</v>
      </c>
      <c r="K92" s="59"/>
      <c r="L92" s="18"/>
    </row>
    <row r="93" spans="1:12" x14ac:dyDescent="0.2">
      <c r="B93" s="36" t="s">
        <v>149</v>
      </c>
      <c r="E93" s="18"/>
      <c r="F93" s="51">
        <v>12411</v>
      </c>
      <c r="G93" s="51">
        <v>12422</v>
      </c>
      <c r="K93" s="59"/>
      <c r="L93" s="18"/>
    </row>
    <row r="94" spans="1:12" x14ac:dyDescent="0.2">
      <c r="B94" s="36" t="s">
        <v>150</v>
      </c>
      <c r="E94" s="18"/>
      <c r="F94" s="51">
        <v>573</v>
      </c>
      <c r="G94" s="51">
        <v>607</v>
      </c>
      <c r="K94" s="59"/>
      <c r="L94" s="18"/>
    </row>
    <row r="95" spans="1:12" x14ac:dyDescent="0.2">
      <c r="B95" s="36" t="s">
        <v>151</v>
      </c>
      <c r="E95" s="18"/>
      <c r="F95" s="51">
        <v>550</v>
      </c>
      <c r="G95" s="51">
        <v>231</v>
      </c>
      <c r="K95" s="59"/>
      <c r="L95" s="18"/>
    </row>
    <row r="96" spans="1:12" x14ac:dyDescent="0.2">
      <c r="B96" s="36" t="s">
        <v>152</v>
      </c>
      <c r="E96" s="18"/>
      <c r="F96" s="51">
        <v>786</v>
      </c>
      <c r="G96" s="51">
        <v>919</v>
      </c>
      <c r="K96" s="59"/>
      <c r="L96" s="18"/>
    </row>
    <row r="97" spans="1:17" x14ac:dyDescent="0.2">
      <c r="B97" s="36" t="s">
        <v>153</v>
      </c>
      <c r="F97" s="51">
        <v>18629</v>
      </c>
      <c r="G97" s="51">
        <v>18872</v>
      </c>
      <c r="K97" s="59"/>
      <c r="L97" s="18"/>
    </row>
    <row r="98" spans="1:17" x14ac:dyDescent="0.2">
      <c r="B98" s="36" t="s">
        <v>154</v>
      </c>
      <c r="E98" s="18"/>
      <c r="F98" s="51">
        <v>3855</v>
      </c>
      <c r="G98" s="51">
        <v>4094</v>
      </c>
      <c r="K98" s="59"/>
      <c r="L98" s="18"/>
    </row>
    <row r="99" spans="1:17" x14ac:dyDescent="0.2">
      <c r="B99" s="36" t="s">
        <v>155</v>
      </c>
      <c r="E99" s="18"/>
      <c r="F99" s="51">
        <v>620</v>
      </c>
      <c r="G99" s="51">
        <v>863</v>
      </c>
      <c r="K99" s="59"/>
      <c r="L99" s="18"/>
    </row>
    <row r="100" spans="1:17" x14ac:dyDescent="0.2">
      <c r="B100" s="36" t="s">
        <v>156</v>
      </c>
      <c r="E100" s="18"/>
      <c r="F100" s="51">
        <v>1068</v>
      </c>
      <c r="G100" s="51">
        <v>507</v>
      </c>
      <c r="K100" s="59"/>
      <c r="L100" s="18"/>
    </row>
    <row r="101" spans="1:17" x14ac:dyDescent="0.2">
      <c r="B101" s="36" t="s">
        <v>157</v>
      </c>
      <c r="E101" s="18"/>
      <c r="F101" s="51">
        <v>1221</v>
      </c>
      <c r="G101" s="51">
        <v>1170</v>
      </c>
      <c r="K101" s="59"/>
      <c r="L101" s="18"/>
    </row>
    <row r="102" spans="1:17" s="33" customFormat="1" x14ac:dyDescent="0.2">
      <c r="B102" s="33" t="s">
        <v>86</v>
      </c>
      <c r="E102" s="61"/>
      <c r="F102" s="33">
        <f>SUM(F92:F96)-SUM(F97:F101)</f>
        <v>-2672</v>
      </c>
      <c r="G102" s="33">
        <f>SUM(G92:G96)-SUM(G97:G101)</f>
        <v>-2266</v>
      </c>
      <c r="K102" s="77"/>
      <c r="L102" s="61"/>
    </row>
    <row r="103" spans="1:17" s="38" customFormat="1" x14ac:dyDescent="0.2">
      <c r="B103" s="27" t="s">
        <v>87</v>
      </c>
      <c r="C103" s="27"/>
      <c r="D103" s="27"/>
      <c r="E103" s="20"/>
      <c r="F103" s="115">
        <f>F102/F27</f>
        <v>-2.9865092937218479E-2</v>
      </c>
      <c r="G103" s="115">
        <f>G102/G27</f>
        <v>-2.5236382265483179E-2</v>
      </c>
      <c r="K103" s="55"/>
      <c r="L103" s="18"/>
      <c r="N103" s="27"/>
      <c r="O103" s="27"/>
      <c r="P103" s="27"/>
      <c r="Q103" s="27"/>
    </row>
    <row r="104" spans="1:17" s="38" customFormat="1" x14ac:dyDescent="0.2">
      <c r="B104" s="27" t="s">
        <v>88</v>
      </c>
      <c r="C104" s="27"/>
      <c r="D104" s="27"/>
      <c r="E104" s="20"/>
      <c r="F104" s="32">
        <f>F93/F27*365</f>
        <v>50.632230157931794</v>
      </c>
      <c r="G104" s="32">
        <f>G93/G27*365</f>
        <v>50.49537258745309</v>
      </c>
      <c r="K104" s="78"/>
      <c r="L104" s="19"/>
    </row>
    <row r="105" spans="1:17" s="38" customFormat="1" x14ac:dyDescent="0.2">
      <c r="B105" s="27" t="s">
        <v>89</v>
      </c>
      <c r="C105" s="27"/>
      <c r="D105" s="27"/>
      <c r="E105" s="20"/>
      <c r="F105" s="27">
        <f>F92/F30*365</f>
        <v>69.37634335618452</v>
      </c>
      <c r="G105" s="27">
        <f>G92/G30*365</f>
        <v>73.620751062929898</v>
      </c>
      <c r="K105" s="78"/>
      <c r="L105" s="19"/>
    </row>
    <row r="106" spans="1:17" s="38" customFormat="1" x14ac:dyDescent="0.2">
      <c r="B106" s="27" t="s">
        <v>90</v>
      </c>
      <c r="C106" s="27"/>
      <c r="D106" s="27"/>
      <c r="E106" s="20"/>
      <c r="F106" s="27">
        <f>F97/F30*365</f>
        <v>153.84024525441751</v>
      </c>
      <c r="G106" s="27">
        <f>G97/G30*365</f>
        <v>153.3352625603811</v>
      </c>
      <c r="K106" s="78"/>
      <c r="L106" s="19"/>
    </row>
    <row r="107" spans="1:17" x14ac:dyDescent="0.2">
      <c r="E107" s="18"/>
      <c r="F107" s="32"/>
      <c r="G107" s="32"/>
      <c r="K107" s="29"/>
      <c r="L107" s="18"/>
    </row>
    <row r="108" spans="1:17" ht="15" x14ac:dyDescent="0.25">
      <c r="A108" s="112" t="s">
        <v>91</v>
      </c>
      <c r="E108" s="18"/>
      <c r="F108" s="29"/>
      <c r="G108" s="29"/>
      <c r="K108" s="29"/>
      <c r="L108" s="18"/>
    </row>
    <row r="109" spans="1:17" x14ac:dyDescent="0.2">
      <c r="B109" s="27" t="s">
        <v>92</v>
      </c>
      <c r="E109" s="18"/>
      <c r="F109" s="51">
        <f>27554</f>
        <v>27554</v>
      </c>
      <c r="G109" s="51">
        <v>27775</v>
      </c>
      <c r="K109" s="59"/>
      <c r="L109" s="18"/>
    </row>
    <row r="110" spans="1:17" s="38" customFormat="1" x14ac:dyDescent="0.2">
      <c r="B110" s="27" t="s">
        <v>93</v>
      </c>
      <c r="C110" s="27"/>
      <c r="D110" s="27"/>
      <c r="E110" s="20"/>
      <c r="F110" s="115">
        <f>F109/F27</f>
        <v>0.30797259385932557</v>
      </c>
      <c r="G110" s="115">
        <f>G109/G27</f>
        <v>0.30932944281720887</v>
      </c>
      <c r="K110" s="55"/>
      <c r="L110" s="18"/>
      <c r="N110" s="27"/>
      <c r="O110" s="27"/>
      <c r="P110" s="27"/>
      <c r="Q110" s="27"/>
    </row>
    <row r="111" spans="1:17" x14ac:dyDescent="0.2">
      <c r="B111" s="27" t="s">
        <v>94</v>
      </c>
      <c r="E111" s="18"/>
      <c r="F111" s="51">
        <f>4010</f>
        <v>4010</v>
      </c>
      <c r="G111" s="51">
        <v>3934</v>
      </c>
      <c r="K111" s="59"/>
      <c r="L111" s="18"/>
    </row>
    <row r="112" spans="1:17" s="38" customFormat="1" x14ac:dyDescent="0.2">
      <c r="B112" s="27" t="s">
        <v>95</v>
      </c>
      <c r="C112" s="27"/>
      <c r="D112" s="27"/>
      <c r="E112" s="20"/>
      <c r="F112" s="31">
        <f>F111/F49</f>
        <v>1.4347048300536673</v>
      </c>
      <c r="G112" s="31">
        <f>G111/G49</f>
        <v>1.3788994041359972</v>
      </c>
      <c r="K112" s="80"/>
      <c r="L112" s="18"/>
      <c r="N112" s="27"/>
      <c r="O112" s="27"/>
      <c r="P112" s="27"/>
      <c r="Q112" s="27"/>
    </row>
    <row r="113" spans="1:12" x14ac:dyDescent="0.2">
      <c r="E113" s="18"/>
      <c r="F113" s="24"/>
      <c r="G113" s="24"/>
      <c r="K113" s="75"/>
      <c r="L113" s="18"/>
    </row>
    <row r="114" spans="1:12" ht="15" x14ac:dyDescent="0.25">
      <c r="A114" s="112" t="s">
        <v>96</v>
      </c>
      <c r="E114" s="18"/>
      <c r="F114" s="24"/>
      <c r="G114" s="24"/>
      <c r="K114" s="75"/>
      <c r="L114" s="18"/>
    </row>
    <row r="115" spans="1:12" x14ac:dyDescent="0.2">
      <c r="B115" s="36" t="s">
        <v>125</v>
      </c>
      <c r="E115" s="18"/>
      <c r="F115" s="51">
        <f>12118</f>
        <v>12118</v>
      </c>
      <c r="G115" s="51">
        <v>10536</v>
      </c>
      <c r="K115" s="59"/>
      <c r="L115" s="18"/>
    </row>
    <row r="116" spans="1:12" x14ac:dyDescent="0.2">
      <c r="B116" s="36" t="s">
        <v>126</v>
      </c>
      <c r="E116" s="18"/>
      <c r="F116" s="51">
        <f>11091</f>
        <v>11091</v>
      </c>
      <c r="G116" s="51">
        <v>15932</v>
      </c>
      <c r="K116" s="59"/>
      <c r="L116" s="18"/>
    </row>
    <row r="117" spans="1:12" x14ac:dyDescent="0.2">
      <c r="B117" s="36" t="s">
        <v>99</v>
      </c>
      <c r="E117" s="18"/>
      <c r="F117" s="51">
        <v>0</v>
      </c>
      <c r="G117" s="51">
        <v>0</v>
      </c>
      <c r="K117" s="59"/>
      <c r="L117" s="18"/>
    </row>
    <row r="118" spans="1:12" x14ac:dyDescent="0.2">
      <c r="B118" s="36" t="s">
        <v>100</v>
      </c>
      <c r="E118" s="18"/>
      <c r="F118" s="51">
        <v>0</v>
      </c>
      <c r="G118" s="51">
        <v>0</v>
      </c>
      <c r="K118" s="59"/>
      <c r="L118" s="18"/>
    </row>
    <row r="119" spans="1:12" x14ac:dyDescent="0.2">
      <c r="B119" s="36" t="s">
        <v>101</v>
      </c>
      <c r="E119" s="18"/>
      <c r="F119" s="51">
        <v>0</v>
      </c>
      <c r="G119" s="51">
        <v>0</v>
      </c>
      <c r="K119" s="59"/>
      <c r="L119" s="18"/>
    </row>
    <row r="120" spans="1:12" s="33" customFormat="1" x14ac:dyDescent="0.2">
      <c r="B120" s="33" t="s">
        <v>17</v>
      </c>
      <c r="E120" s="61"/>
      <c r="F120" s="33">
        <f>SUM(F115:F119)</f>
        <v>23209</v>
      </c>
      <c r="G120" s="33">
        <f>SUM(G115:G119)</f>
        <v>26468</v>
      </c>
      <c r="K120" s="77"/>
      <c r="L120" s="61"/>
    </row>
    <row r="121" spans="1:12" x14ac:dyDescent="0.2">
      <c r="B121" s="27" t="s">
        <v>102</v>
      </c>
      <c r="E121" s="18"/>
      <c r="F121" s="51">
        <f>7990+1306</f>
        <v>9296</v>
      </c>
      <c r="G121" s="51">
        <f>7938+655</f>
        <v>8593</v>
      </c>
      <c r="K121" s="59"/>
      <c r="L121" s="18"/>
    </row>
    <row r="122" spans="1:12" s="33" customFormat="1" x14ac:dyDescent="0.2">
      <c r="B122" s="33" t="s">
        <v>16</v>
      </c>
      <c r="E122" s="61"/>
      <c r="F122" s="33">
        <f>F120-F121</f>
        <v>13913</v>
      </c>
      <c r="G122" s="33">
        <f>G120-G121</f>
        <v>17875</v>
      </c>
      <c r="K122" s="37"/>
      <c r="L122" s="61"/>
    </row>
    <row r="123" spans="1:12" s="38" customFormat="1" x14ac:dyDescent="0.2">
      <c r="B123" s="27" t="s">
        <v>34</v>
      </c>
      <c r="C123" s="27"/>
      <c r="D123" s="27"/>
      <c r="E123" s="20"/>
      <c r="F123" s="31">
        <f>F120/F52</f>
        <v>1.3308675956190148</v>
      </c>
      <c r="G123" s="31">
        <f>G120/G52</f>
        <v>1.4740476720873246</v>
      </c>
      <c r="K123" s="80"/>
      <c r="L123" s="19"/>
    </row>
    <row r="124" spans="1:12" s="38" customFormat="1" x14ac:dyDescent="0.2">
      <c r="B124" s="27" t="s">
        <v>103</v>
      </c>
      <c r="C124" s="27"/>
      <c r="D124" s="27"/>
      <c r="E124" s="20"/>
      <c r="F124" s="31">
        <f>F122/F52</f>
        <v>0.79780950742588452</v>
      </c>
      <c r="G124" s="31">
        <f>G122/G52</f>
        <v>0.99548897304522166</v>
      </c>
      <c r="K124" s="80"/>
      <c r="L124" s="19"/>
    </row>
    <row r="125" spans="1:12" x14ac:dyDescent="0.2">
      <c r="B125" s="27" t="s">
        <v>104</v>
      </c>
      <c r="E125" s="18"/>
      <c r="F125" s="41">
        <v>99</v>
      </c>
      <c r="G125" s="41">
        <v>122</v>
      </c>
      <c r="K125" s="59"/>
      <c r="L125" s="18"/>
    </row>
    <row r="126" spans="1:12" x14ac:dyDescent="0.2">
      <c r="B126" s="27" t="s">
        <v>105</v>
      </c>
      <c r="E126" s="18"/>
      <c r="F126" s="41">
        <v>543</v>
      </c>
      <c r="G126" s="41">
        <v>535</v>
      </c>
      <c r="K126" s="59"/>
      <c r="L126" s="18"/>
    </row>
    <row r="127" spans="1:12" s="38" customFormat="1" x14ac:dyDescent="0.2">
      <c r="B127" s="27" t="s">
        <v>36</v>
      </c>
      <c r="C127" s="27"/>
      <c r="D127" s="27"/>
      <c r="E127" s="20"/>
      <c r="F127" s="27">
        <f>F52/F126</f>
        <v>32.116022099447513</v>
      </c>
      <c r="G127" s="27">
        <f>G52/G126</f>
        <v>33.562616822429909</v>
      </c>
      <c r="K127" s="80"/>
      <c r="L127" s="19"/>
    </row>
    <row r="128" spans="1:12" x14ac:dyDescent="0.2">
      <c r="B128" s="27" t="s">
        <v>106</v>
      </c>
      <c r="E128" s="18"/>
      <c r="F128" s="51">
        <f>65981</f>
        <v>65981</v>
      </c>
      <c r="G128" s="51">
        <v>62777</v>
      </c>
      <c r="K128" s="59"/>
      <c r="L128" s="18"/>
    </row>
    <row r="129" spans="1:17" s="38" customFormat="1" x14ac:dyDescent="0.2">
      <c r="B129" s="27" t="s">
        <v>107</v>
      </c>
      <c r="C129" s="27"/>
      <c r="D129" s="27"/>
      <c r="E129" s="20"/>
      <c r="F129" s="114">
        <f>F120/F128</f>
        <v>0.35175277731468152</v>
      </c>
      <c r="G129" s="114">
        <f>G120/G128</f>
        <v>0.42161938289500933</v>
      </c>
      <c r="K129" s="81"/>
      <c r="L129" s="18"/>
      <c r="N129" s="27"/>
      <c r="O129" s="27"/>
      <c r="P129" s="27"/>
      <c r="Q129" s="27"/>
    </row>
    <row r="130" spans="1:17" s="38" customFormat="1" x14ac:dyDescent="0.2">
      <c r="E130" s="18"/>
      <c r="F130" s="53"/>
      <c r="G130" s="53"/>
      <c r="K130" s="81"/>
      <c r="L130" s="18"/>
      <c r="N130" s="27"/>
      <c r="O130" s="27"/>
      <c r="P130" s="27"/>
      <c r="Q130" s="27"/>
    </row>
    <row r="131" spans="1:17" s="38" customFormat="1" ht="15" x14ac:dyDescent="0.25">
      <c r="A131" s="112" t="s">
        <v>108</v>
      </c>
      <c r="E131" s="18"/>
      <c r="F131" s="53"/>
      <c r="G131" s="53"/>
      <c r="K131" s="81"/>
      <c r="L131" s="18"/>
      <c r="N131" s="27"/>
      <c r="O131" s="27"/>
      <c r="P131" s="27"/>
      <c r="Q131" s="27"/>
    </row>
    <row r="132" spans="1:17" s="38" customFormat="1" x14ac:dyDescent="0.2">
      <c r="B132" s="27" t="s">
        <v>15</v>
      </c>
      <c r="C132" s="27"/>
      <c r="D132" s="27"/>
      <c r="E132" s="20"/>
      <c r="F132" s="114">
        <f>F76/F128</f>
        <v>0.16486564313969174</v>
      </c>
      <c r="G132" s="114">
        <f>G76/G128</f>
        <v>0.18087834716536311</v>
      </c>
      <c r="K132" s="81"/>
      <c r="L132" s="18"/>
      <c r="N132" s="27"/>
      <c r="O132" s="27"/>
      <c r="P132" s="27"/>
      <c r="Q132" s="27"/>
    </row>
    <row r="133" spans="1:17" ht="15" x14ac:dyDescent="0.2">
      <c r="B133" s="82"/>
      <c r="C133" s="82"/>
      <c r="D133" s="82"/>
      <c r="E133" s="82"/>
      <c r="F133" s="82"/>
      <c r="G133" s="82"/>
      <c r="K133" s="83"/>
      <c r="L133" s="18"/>
    </row>
    <row r="134" spans="1:17" x14ac:dyDescent="0.2">
      <c r="B134" s="27" t="str">
        <f>B62</f>
        <v>NOPAT</v>
      </c>
      <c r="F134" s="27">
        <f>F62</f>
        <v>9266.5408749800408</v>
      </c>
      <c r="G134" s="27">
        <f>G62</f>
        <v>10417.202780996524</v>
      </c>
      <c r="L134" s="18"/>
    </row>
    <row r="135" spans="1:17" x14ac:dyDescent="0.2">
      <c r="B135" s="27" t="str">
        <f>B128</f>
        <v>Equity - book value (inc. NCI)</v>
      </c>
      <c r="F135" s="27">
        <f>F128</f>
        <v>65981</v>
      </c>
      <c r="G135" s="27">
        <f>G128</f>
        <v>62777</v>
      </c>
      <c r="L135" s="18"/>
    </row>
    <row r="136" spans="1:17" x14ac:dyDescent="0.2">
      <c r="B136" s="27" t="str">
        <f>B122</f>
        <v>Net debt</v>
      </c>
      <c r="F136" s="27">
        <f>F122</f>
        <v>13913</v>
      </c>
      <c r="G136" s="27">
        <f>G122</f>
        <v>17875</v>
      </c>
      <c r="L136" s="18"/>
    </row>
    <row r="137" spans="1:17" x14ac:dyDescent="0.2">
      <c r="B137" s="27" t="s">
        <v>109</v>
      </c>
      <c r="F137" s="27">
        <f>SUM(F135:F136)</f>
        <v>79894</v>
      </c>
      <c r="G137" s="27">
        <f>SUM(G135:G136)</f>
        <v>80652</v>
      </c>
      <c r="L137" s="18"/>
    </row>
    <row r="138" spans="1:17" x14ac:dyDescent="0.2">
      <c r="B138" s="27" t="s">
        <v>14</v>
      </c>
      <c r="F138" s="114">
        <f>F134/F137</f>
        <v>0.11598544164743337</v>
      </c>
      <c r="G138" s="114">
        <f>G134/G137</f>
        <v>0.12916236151610033</v>
      </c>
      <c r="L138" s="18"/>
    </row>
    <row r="139" spans="1:17" x14ac:dyDescent="0.2">
      <c r="L139" s="18"/>
    </row>
  </sheetData>
  <printOptions headings="1" gridLines="1"/>
  <pageMargins left="0.74803149606299213" right="0.74803149606299213" top="0.98425196850393704" bottom="0.98425196850393704" header="0.51181102362204722" footer="0.51181102362204722"/>
  <pageSetup fitToHeight="0" orientation="landscape" r:id="rId1"/>
  <headerFooter alignWithMargins="0">
    <oddHeader>&amp;L&amp;8&amp;F &amp;A</oddHeader>
    <oddFooter>&amp;R &amp;8Page &amp;P of &amp;N&amp;L&amp;8© AMT Training 2008 - 2017</oddFooter>
  </headerFooter>
  <rowBreaks count="2" manualBreakCount="2">
    <brk id="25" max="17" man="1"/>
    <brk id="86" max="17" man="1"/>
  </row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C1A31360A00342AD975AD4B039EC11" ma:contentTypeVersion="11" ma:contentTypeDescription="Create a new document." ma:contentTypeScope="" ma:versionID="68483fcceeceb72e38d153f33a081053">
  <xsd:schema xmlns:xsd="http://www.w3.org/2001/XMLSchema" xmlns:xs="http://www.w3.org/2001/XMLSchema" xmlns:p="http://schemas.microsoft.com/office/2006/metadata/properties" xmlns:ns2="3af0eaf5-d15a-4ca0-bab1-c2f6d7551579" xmlns:ns3="c10a7ca2-cc5f-4bd2-a11d-24827c529c8e" targetNamespace="http://schemas.microsoft.com/office/2006/metadata/properties" ma:root="true" ma:fieldsID="b1169e03cbd73eaa1b2c9dd099bfa885" ns2:_="" ns3:_="">
    <xsd:import namespace="3af0eaf5-d15a-4ca0-bab1-c2f6d7551579"/>
    <xsd:import namespace="c10a7ca2-cc5f-4bd2-a11d-24827c529c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AMTO_x0020_Back_x0020_up_x0020_Deleted" minOccurs="0"/>
                <xsd:element ref="ns2:AMT_x0020_Course_x0020_Deleted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f0eaf5-d15a-4ca0-bab1-c2f6d75515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AMTO_x0020_Back_x0020_up_x0020_Deleted" ma:index="15" nillable="true" ma:displayName="AMTO Back up Deleted" ma:format="Dropdown" ma:internalName="AMTO_x0020_Back_x0020_up_x0020_Deleted">
      <xsd:simpleType>
        <xsd:restriction base="dms:Choice">
          <xsd:enumeration value="Yes"/>
          <xsd:enumeration value="No"/>
        </xsd:restriction>
      </xsd:simpleType>
    </xsd:element>
    <xsd:element name="AMT_x0020_Course_x0020_Deleted" ma:index="16" nillable="true" ma:displayName="AMT Course Deleted" ma:format="Dropdown" ma:internalName="AMT_x0020_Course_x0020_Deleted">
      <xsd:simpleType>
        <xsd:restriction base="dms:Choice">
          <xsd:enumeration value="Yes"/>
          <xsd:enumeration value="No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0a7ca2-cc5f-4bd2-a11d-24827c529c8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MTO_x0020_Back_x0020_up_x0020_Deleted xmlns="3af0eaf5-d15a-4ca0-bab1-c2f6d7551579" xsi:nil="true"/>
    <AMT_x0020_Course_x0020_Deleted xmlns="3af0eaf5-d15a-4ca0-bab1-c2f6d7551579" xsi:nil="true"/>
    <SharedWithUsers xmlns="c10a7ca2-cc5f-4bd2-a11d-24827c529c8e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025006B-6964-43DD-87A6-2DA1C42B29BF}"/>
</file>

<file path=customXml/itemProps2.xml><?xml version="1.0" encoding="utf-8"?>
<ds:datastoreItem xmlns:ds="http://schemas.openxmlformats.org/officeDocument/2006/customXml" ds:itemID="{FACBDD51-2DC8-44B2-A840-352E3289783A}"/>
</file>

<file path=customXml/itemProps3.xml><?xml version="1.0" encoding="utf-8"?>
<ds:datastoreItem xmlns:ds="http://schemas.openxmlformats.org/officeDocument/2006/customXml" ds:itemID="{26F7D6DD-40D7-4B0D-8BB3-2170E696E7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42</vt:i4>
      </vt:variant>
    </vt:vector>
  </HeadingPairs>
  <TitlesOfParts>
    <vt:vector size="47" baseType="lpstr">
      <vt:lpstr>Cover</vt:lpstr>
      <vt:lpstr>Campbell_data</vt:lpstr>
      <vt:lpstr>Danone_data</vt:lpstr>
      <vt:lpstr>Kellogg_data</vt:lpstr>
      <vt:lpstr>Nestle_data</vt:lpstr>
      <vt:lpstr>Ccy</vt:lpstr>
      <vt:lpstr>Campbell_data!D_EBITDA</vt:lpstr>
      <vt:lpstr>Danone_data!D_EBITDA</vt:lpstr>
      <vt:lpstr>Kellogg_data!D_EBITDA</vt:lpstr>
      <vt:lpstr>Nestle_data!D_EBITDA</vt:lpstr>
      <vt:lpstr>Campbell_data!Data</vt:lpstr>
      <vt:lpstr>Danone_data!Data</vt:lpstr>
      <vt:lpstr>Kellogg_data!Data</vt:lpstr>
      <vt:lpstr>Nestle_data!Data</vt:lpstr>
      <vt:lpstr>Campbell_data!E_Int</vt:lpstr>
      <vt:lpstr>Danone_data!E_Int</vt:lpstr>
      <vt:lpstr>Kellogg_data!E_Int</vt:lpstr>
      <vt:lpstr>Nestle_data!E_Int</vt:lpstr>
      <vt:lpstr>Campbell_data!EBITDAMLTM</vt:lpstr>
      <vt:lpstr>Danone_data!EBITDAMLTM</vt:lpstr>
      <vt:lpstr>Kellogg_data!EBITDAMLTM</vt:lpstr>
      <vt:lpstr>Nestle_data!EBITDAMLTM</vt:lpstr>
      <vt:lpstr>Campbell_data!EBITMLTM</vt:lpstr>
      <vt:lpstr>Danone_data!EBITMLTM</vt:lpstr>
      <vt:lpstr>Kellogg_data!EBITMLTM</vt:lpstr>
      <vt:lpstr>Nestle_data!EBITMLTM</vt:lpstr>
      <vt:lpstr>Campbell_data!ND_EBITDA</vt:lpstr>
      <vt:lpstr>Danone_data!ND_EBITDA</vt:lpstr>
      <vt:lpstr>Kellogg_data!ND_EBITDA</vt:lpstr>
      <vt:lpstr>Nestle_data!ND_EBITDA</vt:lpstr>
      <vt:lpstr>Campbell_data!Print_Area</vt:lpstr>
      <vt:lpstr>Danone_data!Print_Area</vt:lpstr>
      <vt:lpstr>Kellogg_data!Print_Area</vt:lpstr>
      <vt:lpstr>Nestle_data!Print_Area</vt:lpstr>
      <vt:lpstr>Campbell_data!ROE</vt:lpstr>
      <vt:lpstr>Danone_data!ROE</vt:lpstr>
      <vt:lpstr>Kellogg_data!ROE</vt:lpstr>
      <vt:lpstr>Nestle_data!ROE</vt:lpstr>
      <vt:lpstr>Campbell_data!ROIC</vt:lpstr>
      <vt:lpstr>Danone_data!ROIC</vt:lpstr>
      <vt:lpstr>Kellogg_data!ROIC</vt:lpstr>
      <vt:lpstr>Nestle_data!ROIC</vt:lpstr>
      <vt:lpstr>Campbell_data!SalesCAGR</vt:lpstr>
      <vt:lpstr>Danone_data!SalesCAGR</vt:lpstr>
      <vt:lpstr>Kellogg_data!SalesCAGR</vt:lpstr>
      <vt:lpstr>Nestle_data!SalesCAGR</vt:lpstr>
      <vt:lpstr>Units</vt:lpstr>
    </vt:vector>
  </TitlesOfParts>
  <Company>AMT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AMT</dc:creator>
  <dc:description>AMTX-V1/2765</dc:description>
  <cp:lastModifiedBy>Lucy Martin Harvey</cp:lastModifiedBy>
  <cp:lastPrinted>2017-12-06T12:46:42Z</cp:lastPrinted>
  <dcterms:created xsi:type="dcterms:W3CDTF">2008-02-13T09:24:48Z</dcterms:created>
  <dcterms:modified xsi:type="dcterms:W3CDTF">2018-06-14T12:48:29Z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0x010100DBC1A31360A00342AD975AD4B039EC11</vt:lpwstr>
  </property>
  <property fmtid="{D5CDD505-2E9C-101B-9397-08002B2CF9AE}" pid="3" name="Order">
    <vt:r8>4177900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