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https://d.docs.live.net/7874bdcc0642262c/Desktop/SCI/Training the Street/"/>
    </mc:Choice>
  </mc:AlternateContent>
  <xr:revisionPtr revIDLastSave="216" documentId="11_8EF61F90E1D5BA6A46796FBDC34A0D16A0ACDAAB" xr6:coauthVersionLast="47" xr6:coauthVersionMax="47" xr10:uidLastSave="{B5CDC4EF-8F11-442A-A010-F80DEA5F2DF4}"/>
  <bookViews>
    <workbookView xWindow="-120" yWindow="-120" windowWidth="23280" windowHeight="14880" tabRatio="808" firstSheet="42" activeTab="52" xr2:uid="{00000000-000D-0000-FFFF-FFFF00000000}"/>
  </bookViews>
  <sheets>
    <sheet name="Cover" sheetId="3" r:id="rId1"/>
    <sheet name="AF Q1" sheetId="8" r:id="rId2"/>
    <sheet name="AF Q2" sheetId="7" r:id="rId3"/>
    <sheet name="AF Q3" sheetId="9" r:id="rId4"/>
    <sheet name="AF Q4" sheetId="10" r:id="rId5"/>
    <sheet name="AF Q5" sheetId="11" r:id="rId6"/>
    <sheet name="AF Q6" sheetId="12" r:id="rId7"/>
    <sheet name="AF Q7" sheetId="13" r:id="rId8"/>
    <sheet name="AF Q8" sheetId="4" r:id="rId9"/>
    <sheet name="AF Q9" sheetId="5" r:id="rId10"/>
    <sheet name="IS Q1" sheetId="14" r:id="rId11"/>
    <sheet name="IS Q2" sheetId="15" r:id="rId12"/>
    <sheet name="IS Q3" sheetId="16" r:id="rId13"/>
    <sheet name="IS Q4" sheetId="17" r:id="rId14"/>
    <sheet name="IS Q5" sheetId="18" r:id="rId15"/>
    <sheet name="IS Q6" sheetId="19" r:id="rId16"/>
    <sheet name="IS Q7" sheetId="20" r:id="rId17"/>
    <sheet name="IS Q8" sheetId="21" r:id="rId18"/>
    <sheet name="IS Q9" sheetId="22" r:id="rId19"/>
    <sheet name="IS Q10" sheetId="23" r:id="rId20"/>
    <sheet name="IS Q11" sheetId="24" r:id="rId21"/>
    <sheet name="IS Q12" sheetId="25" r:id="rId22"/>
    <sheet name="IS Q13" sheetId="26" r:id="rId23"/>
    <sheet name="IS Q14" sheetId="27" r:id="rId24"/>
    <sheet name="IS Q15" sheetId="28" r:id="rId25"/>
    <sheet name="IS Q16" sheetId="29" r:id="rId26"/>
    <sheet name="CAL Q1" sheetId="30" r:id="rId27"/>
    <sheet name="CAL Q2" sheetId="31" r:id="rId28"/>
    <sheet name="CAL Q3" sheetId="32" r:id="rId29"/>
    <sheet name="CAL Q4" sheetId="33" r:id="rId30"/>
    <sheet name="CAL Q5" sheetId="34" r:id="rId31"/>
    <sheet name="NCA Q1" sheetId="35" r:id="rId32"/>
    <sheet name="NCA Q2" sheetId="36" r:id="rId33"/>
    <sheet name="NCA Q3" sheetId="37" r:id="rId34"/>
    <sheet name="NCA Q4" sheetId="38" r:id="rId35"/>
    <sheet name="NCA Q5" sheetId="39" r:id="rId36"/>
    <sheet name="NCA Q6" sheetId="40" r:id="rId37"/>
    <sheet name="NCA Q7" sheetId="41" r:id="rId38"/>
    <sheet name="NCA Q8" sheetId="42" r:id="rId39"/>
    <sheet name="NCA Q9" sheetId="43" r:id="rId40"/>
    <sheet name="D&amp;E Q1" sheetId="44" r:id="rId41"/>
    <sheet name="D&amp;E Q2" sheetId="45" r:id="rId42"/>
    <sheet name="D&amp;E Q3" sheetId="46" r:id="rId43"/>
    <sheet name="D&amp;E Q4" sheetId="47" r:id="rId44"/>
    <sheet name="D&amp;E Q5" sheetId="48" r:id="rId45"/>
    <sheet name="D&amp;E Q6" sheetId="49" r:id="rId46"/>
    <sheet name="D&amp;E Q7" sheetId="50" r:id="rId47"/>
    <sheet name="D&amp;E Q8" sheetId="51" r:id="rId48"/>
    <sheet name="D&amp;E Q9" sheetId="52" r:id="rId49"/>
    <sheet name="CFS Q1" sheetId="53" r:id="rId50"/>
    <sheet name="CFS Q2" sheetId="54" r:id="rId51"/>
    <sheet name="CFS Q3" sheetId="55" r:id="rId52"/>
    <sheet name="CFS Q4" sheetId="56" r:id="rId53"/>
    <sheet name="CFS Q5" sheetId="57" r:id="rId54"/>
    <sheet name="CFS Q6" sheetId="58" r:id="rId55"/>
    <sheet name="CFS Q7" sheetId="59" r:id="rId56"/>
    <sheet name="CFS Q8" sheetId="60" r:id="rId57"/>
  </sheets>
  <definedNames>
    <definedName name="calendar" localSheetId="1">#REF!</definedName>
    <definedName name="calendar" localSheetId="2">#REF!</definedName>
    <definedName name="calendar" localSheetId="3">#REF!</definedName>
    <definedName name="calendar" localSheetId="10">#REF!</definedName>
    <definedName name="calendar" localSheetId="19">#REF!</definedName>
    <definedName name="calendar" localSheetId="23">#REF!</definedName>
    <definedName name="calendar" localSheetId="24">#REF!</definedName>
    <definedName name="calendar" localSheetId="25">#REF!</definedName>
    <definedName name="calendar" localSheetId="11">#REF!</definedName>
    <definedName name="calendar" localSheetId="12">#REF!</definedName>
    <definedName name="calendar" localSheetId="13">#REF!</definedName>
    <definedName name="calendar" localSheetId="14">#REF!</definedName>
    <definedName name="calendar" localSheetId="15">#REF!</definedName>
    <definedName name="calendar" localSheetId="16">#REF!</definedName>
    <definedName name="calendar" localSheetId="18">#REF!</definedName>
    <definedName name="calendar">#REF!</definedName>
    <definedName name="circ">Cover!$C$11</definedName>
    <definedName name="CoName">Cover!$C$6</definedName>
    <definedName name="CoName1">Cover!$C$7</definedName>
    <definedName name="CoName2">Cover!$C$8</definedName>
    <definedName name="CPB_Share_Price" localSheetId="1">#REF!</definedName>
    <definedName name="CPB_Share_Price" localSheetId="2">#REF!</definedName>
    <definedName name="CPB_Share_Price" localSheetId="3">#REF!</definedName>
    <definedName name="CPB_Share_Price" localSheetId="10">#REF!</definedName>
    <definedName name="CPB_Share_Price" localSheetId="19">#REF!</definedName>
    <definedName name="CPB_Share_Price" localSheetId="23">#REF!</definedName>
    <definedName name="CPB_Share_Price" localSheetId="24">#REF!</definedName>
    <definedName name="CPB_Share_Price" localSheetId="25">#REF!</definedName>
    <definedName name="CPB_Share_Price" localSheetId="11">#REF!</definedName>
    <definedName name="CPB_Share_Price" localSheetId="12">#REF!</definedName>
    <definedName name="CPB_Share_Price" localSheetId="13">#REF!</definedName>
    <definedName name="CPB_Share_Price" localSheetId="14">#REF!</definedName>
    <definedName name="CPB_Share_Price" localSheetId="15">#REF!</definedName>
    <definedName name="CPB_Share_Price" localSheetId="16">#REF!</definedName>
    <definedName name="CPB_Share_Price" localSheetId="18">#REF!</definedName>
    <definedName name="CPB_Share_Price">#REF!</definedName>
    <definedName name="refin" localSheetId="1">#REF!</definedName>
    <definedName name="refin" localSheetId="2">#REF!</definedName>
    <definedName name="refin" localSheetId="3">#REF!</definedName>
    <definedName name="refin" localSheetId="10">#REF!</definedName>
    <definedName name="refin" localSheetId="19">#REF!</definedName>
    <definedName name="refin" localSheetId="23">#REF!</definedName>
    <definedName name="refin" localSheetId="24">#REF!</definedName>
    <definedName name="refin" localSheetId="25">#REF!</definedName>
    <definedName name="refin" localSheetId="11">#REF!</definedName>
    <definedName name="refin" localSheetId="12">#REF!</definedName>
    <definedName name="refin" localSheetId="13">#REF!</definedName>
    <definedName name="refin" localSheetId="14">#REF!</definedName>
    <definedName name="refin" localSheetId="15">#REF!</definedName>
    <definedName name="refin" localSheetId="16">#REF!</definedName>
    <definedName name="refin" localSheetId="18">#REF!</definedName>
    <definedName name="refin">#REF!</definedName>
    <definedName name="roll" localSheetId="1">#REF!</definedName>
    <definedName name="roll" localSheetId="2">#REF!</definedName>
    <definedName name="roll" localSheetId="3">#REF!</definedName>
    <definedName name="roll" localSheetId="10">#REF!</definedName>
    <definedName name="roll" localSheetId="19">#REF!</definedName>
    <definedName name="roll" localSheetId="23">#REF!</definedName>
    <definedName name="roll" localSheetId="24">#REF!</definedName>
    <definedName name="roll" localSheetId="25">#REF!</definedName>
    <definedName name="roll" localSheetId="11">#REF!</definedName>
    <definedName name="roll" localSheetId="12">#REF!</definedName>
    <definedName name="roll" localSheetId="13">#REF!</definedName>
    <definedName name="roll" localSheetId="14">#REF!</definedName>
    <definedName name="roll" localSheetId="15">#REF!</definedName>
    <definedName name="roll" localSheetId="16">#REF!</definedName>
    <definedName name="roll" localSheetId="18">#REF!</definedName>
    <definedName name="roll">#REF!</definedName>
    <definedName name="Units">Cover!$C$9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56" l="1"/>
  <c r="M21" i="56"/>
  <c r="M18" i="56"/>
  <c r="M15" i="56"/>
  <c r="M13" i="56"/>
  <c r="M16" i="56"/>
  <c r="M11" i="56"/>
  <c r="M10" i="56"/>
  <c r="M25" i="56" s="1"/>
  <c r="M8" i="56"/>
  <c r="N6" i="56"/>
  <c r="M6" i="56"/>
  <c r="M41" i="56"/>
  <c r="F37" i="56"/>
  <c r="F36" i="56"/>
  <c r="F35" i="56"/>
  <c r="M36" i="56" s="1"/>
  <c r="F33" i="56"/>
  <c r="M28" i="56" s="1"/>
  <c r="F32" i="56"/>
  <c r="M35" i="56" s="1"/>
  <c r="F30" i="56"/>
  <c r="M34" i="56" s="1"/>
  <c r="F25" i="56"/>
  <c r="F29" i="56"/>
  <c r="F28" i="56"/>
  <c r="F26" i="56"/>
  <c r="F23" i="56"/>
  <c r="F22" i="56"/>
  <c r="F21" i="56"/>
  <c r="F21" i="52"/>
  <c r="F20" i="52"/>
  <c r="F19" i="52"/>
  <c r="F18" i="52"/>
  <c r="F17" i="52"/>
  <c r="M9" i="56" l="1"/>
  <c r="M31" i="56" s="1"/>
  <c r="M32" i="56" s="1"/>
  <c r="M14" i="56"/>
  <c r="M27" i="56"/>
  <c r="D27" i="51"/>
  <c r="D26" i="51"/>
  <c r="D25" i="51"/>
  <c r="E27" i="51"/>
  <c r="E26" i="51"/>
  <c r="E25" i="51"/>
  <c r="C27" i="51"/>
  <c r="C26" i="51"/>
  <c r="C25" i="51"/>
  <c r="D21" i="50" l="1"/>
  <c r="E21" i="50" s="1"/>
  <c r="D22" i="50"/>
  <c r="D23" i="50" s="1"/>
  <c r="E23" i="50" s="1"/>
  <c r="D23" i="44"/>
  <c r="D26" i="45" s="1"/>
  <c r="C23" i="44"/>
  <c r="C26" i="45" s="1"/>
  <c r="E22" i="50" l="1"/>
  <c r="C14" i="38"/>
  <c r="D14" i="38" s="1"/>
  <c r="E14" i="38" l="1"/>
  <c r="D13" i="38"/>
  <c r="D8" i="34"/>
  <c r="C8" i="34"/>
  <c r="D37" i="33"/>
  <c r="C37" i="33"/>
  <c r="D36" i="33"/>
  <c r="C36" i="33"/>
  <c r="D35" i="33"/>
  <c r="C35" i="33"/>
  <c r="E26" i="30"/>
  <c r="D26" i="30"/>
  <c r="E25" i="30"/>
  <c r="E27" i="30" s="1"/>
  <c r="D25" i="30"/>
  <c r="D27" i="30" s="1"/>
  <c r="E22" i="30"/>
  <c r="D22" i="30"/>
  <c r="E21" i="30"/>
  <c r="D21" i="30"/>
  <c r="F24" i="25"/>
  <c r="D29" i="30" l="1"/>
  <c r="E29" i="30"/>
  <c r="D15" i="38"/>
  <c r="D16" i="38" s="1"/>
  <c r="F14" i="38"/>
  <c r="F13" i="38" s="1"/>
  <c r="E13" i="38"/>
  <c r="F15" i="38" s="1"/>
  <c r="F16" i="38" s="1"/>
  <c r="C28" i="22"/>
  <c r="C27" i="22"/>
  <c r="C25" i="22"/>
  <c r="E26" i="21"/>
  <c r="K58" i="10"/>
  <c r="K56" i="10"/>
  <c r="K54" i="10"/>
  <c r="K53" i="10"/>
  <c r="K50" i="10"/>
  <c r="K48" i="10"/>
  <c r="K47" i="10"/>
  <c r="K46" i="10"/>
  <c r="G34" i="10"/>
  <c r="D29" i="10"/>
  <c r="D23" i="10"/>
  <c r="D16" i="10"/>
  <c r="D11" i="10"/>
  <c r="E42" i="32"/>
  <c r="E55" i="32"/>
  <c r="E15" i="38" l="1"/>
  <c r="E16" i="38" s="1"/>
  <c r="D17" i="59"/>
  <c r="A2" i="30" l="1"/>
  <c r="B21" i="29" l="1"/>
  <c r="A2" i="5" l="1"/>
  <c r="A2" i="4"/>
  <c r="A2" i="13"/>
  <c r="A2" i="12"/>
  <c r="A2" i="11"/>
  <c r="A2" i="10"/>
  <c r="A2" i="9"/>
  <c r="A2" i="7"/>
  <c r="A2" i="8"/>
  <c r="A2" i="60" l="1"/>
  <c r="A2" i="59"/>
  <c r="A2" i="58"/>
  <c r="A2" i="57"/>
  <c r="A2" i="56"/>
  <c r="A2" i="55"/>
  <c r="A2" i="54"/>
  <c r="A2" i="53"/>
  <c r="D39" i="60"/>
  <c r="C39" i="60"/>
  <c r="D32" i="60"/>
  <c r="D35" i="60" s="1"/>
  <c r="D40" i="60" s="1"/>
  <c r="C32" i="60"/>
  <c r="C35" i="60" s="1"/>
  <c r="C40" i="60" s="1"/>
  <c r="D23" i="60"/>
  <c r="D27" i="60" s="1"/>
  <c r="C23" i="60"/>
  <c r="C27" i="60" s="1"/>
  <c r="D17" i="60"/>
  <c r="D11" i="60"/>
  <c r="D13" i="60" s="1"/>
  <c r="D15" i="60" s="1"/>
  <c r="D39" i="59"/>
  <c r="C39" i="59"/>
  <c r="D32" i="59"/>
  <c r="D35" i="59" s="1"/>
  <c r="D40" i="59" s="1"/>
  <c r="C32" i="59"/>
  <c r="C35" i="59" s="1"/>
  <c r="C40" i="59" s="1"/>
  <c r="D23" i="59"/>
  <c r="D27" i="59" s="1"/>
  <c r="C23" i="59"/>
  <c r="C27" i="59" s="1"/>
  <c r="D11" i="59"/>
  <c r="D13" i="59" s="1"/>
  <c r="D15" i="59" s="1"/>
  <c r="D40" i="58"/>
  <c r="C40" i="58"/>
  <c r="D33" i="58"/>
  <c r="D36" i="58" s="1"/>
  <c r="C33" i="58"/>
  <c r="C36" i="58" s="1"/>
  <c r="C41" i="58" s="1"/>
  <c r="D25" i="58"/>
  <c r="D29" i="58" s="1"/>
  <c r="C25" i="58"/>
  <c r="C29" i="58" s="1"/>
  <c r="D19" i="58"/>
  <c r="D12" i="58"/>
  <c r="D14" i="58" s="1"/>
  <c r="D17" i="58" s="1"/>
  <c r="D38" i="57"/>
  <c r="C38" i="57"/>
  <c r="D31" i="57"/>
  <c r="D34" i="57" s="1"/>
  <c r="C31" i="57"/>
  <c r="C34" i="57" s="1"/>
  <c r="D24" i="57"/>
  <c r="D27" i="57" s="1"/>
  <c r="C24" i="57"/>
  <c r="C27" i="57" s="1"/>
  <c r="D10" i="57"/>
  <c r="D13" i="57" s="1"/>
  <c r="D15" i="57" s="1"/>
  <c r="D17" i="57" s="1"/>
  <c r="D38" i="56"/>
  <c r="C38" i="56"/>
  <c r="D31" i="56"/>
  <c r="D34" i="56" s="1"/>
  <c r="C31" i="56"/>
  <c r="C34" i="56" s="1"/>
  <c r="D24" i="56"/>
  <c r="D27" i="56" s="1"/>
  <c r="C24" i="56"/>
  <c r="C27" i="56" s="1"/>
  <c r="D10" i="56"/>
  <c r="D13" i="56" s="1"/>
  <c r="D15" i="56" s="1"/>
  <c r="D17" i="56" s="1"/>
  <c r="C21" i="55"/>
  <c r="C17" i="55"/>
  <c r="C12" i="55"/>
  <c r="D49" i="54"/>
  <c r="C49" i="54"/>
  <c r="D41" i="54"/>
  <c r="D43" i="54" s="1"/>
  <c r="C41" i="54"/>
  <c r="C43" i="54" s="1"/>
  <c r="D36" i="54"/>
  <c r="C36" i="54"/>
  <c r="D30" i="54"/>
  <c r="C30" i="54"/>
  <c r="D10" i="54"/>
  <c r="D12" i="54" s="1"/>
  <c r="D14" i="54" s="1"/>
  <c r="D17" i="54" s="1"/>
  <c r="D19" i="54" s="1"/>
  <c r="D24" i="54" s="1"/>
  <c r="C10" i="54"/>
  <c r="C12" i="54" s="1"/>
  <c r="C14" i="54" s="1"/>
  <c r="C17" i="54" s="1"/>
  <c r="C19" i="54" s="1"/>
  <c r="C24" i="54" s="1"/>
  <c r="D33" i="53"/>
  <c r="C33" i="53"/>
  <c r="D27" i="53"/>
  <c r="D29" i="53" s="1"/>
  <c r="D34" i="53" s="1"/>
  <c r="C27" i="53"/>
  <c r="C29" i="53" s="1"/>
  <c r="C34" i="53" s="1"/>
  <c r="D22" i="53"/>
  <c r="D24" i="53" s="1"/>
  <c r="C22" i="53"/>
  <c r="C24" i="53" s="1"/>
  <c r="D10" i="53"/>
  <c r="D12" i="53" s="1"/>
  <c r="D14" i="53" s="1"/>
  <c r="D16" i="53" s="1"/>
  <c r="M19" i="56" l="1"/>
  <c r="M24" i="56"/>
  <c r="M29" i="56" s="1"/>
  <c r="C39" i="56"/>
  <c r="C23" i="55"/>
  <c r="C39" i="57"/>
  <c r="D39" i="56"/>
  <c r="D39" i="57"/>
  <c r="D41" i="58"/>
  <c r="A2" i="52"/>
  <c r="A2" i="51"/>
  <c r="A2" i="50"/>
  <c r="A2" i="49"/>
  <c r="A2" i="48"/>
  <c r="A2" i="47"/>
  <c r="A2" i="46"/>
  <c r="A2" i="45"/>
  <c r="A2" i="44"/>
  <c r="B27" i="51"/>
  <c r="B26" i="51"/>
  <c r="B25" i="51"/>
  <c r="E34" i="49"/>
  <c r="D34" i="49"/>
  <c r="E25" i="49"/>
  <c r="D25" i="49"/>
  <c r="E15" i="49"/>
  <c r="D15" i="49"/>
  <c r="E51" i="48"/>
  <c r="D51" i="48"/>
  <c r="E39" i="48"/>
  <c r="D39" i="48"/>
  <c r="E26" i="48"/>
  <c r="D26" i="48"/>
  <c r="E20" i="48"/>
  <c r="E22" i="48" s="1"/>
  <c r="D20" i="48"/>
  <c r="D22" i="48" s="1"/>
  <c r="E13" i="48"/>
  <c r="D13" i="48"/>
  <c r="E45" i="47"/>
  <c r="D45" i="47"/>
  <c r="E36" i="47"/>
  <c r="D36" i="47"/>
  <c r="E30" i="47"/>
  <c r="E37" i="47" s="1"/>
  <c r="D30" i="47"/>
  <c r="E22" i="47"/>
  <c r="D22" i="47"/>
  <c r="E14" i="47"/>
  <c r="D14" i="47"/>
  <c r="D11" i="46"/>
  <c r="D17" i="46" s="1"/>
  <c r="C11" i="46"/>
  <c r="C17" i="46" s="1"/>
  <c r="D19" i="44"/>
  <c r="C19" i="44"/>
  <c r="D12" i="44"/>
  <c r="C12" i="44"/>
  <c r="M20" i="56" l="1"/>
  <c r="M37" i="56" s="1"/>
  <c r="M38" i="56" s="1"/>
  <c r="C20" i="44"/>
  <c r="D20" i="44"/>
  <c r="C20" i="46"/>
  <c r="C22" i="46" s="1"/>
  <c r="C34" i="46"/>
  <c r="D20" i="46"/>
  <c r="D22" i="46" s="1"/>
  <c r="D34" i="46"/>
  <c r="D52" i="48"/>
  <c r="D37" i="47"/>
  <c r="D46" i="47" s="1"/>
  <c r="E52" i="48"/>
  <c r="E23" i="47"/>
  <c r="E46" i="47"/>
  <c r="E29" i="48"/>
  <c r="D29" i="48"/>
  <c r="D23" i="47"/>
  <c r="D36" i="49"/>
  <c r="E36" i="49"/>
  <c r="A2" i="43"/>
  <c r="A2" i="42"/>
  <c r="A2" i="41"/>
  <c r="A2" i="40"/>
  <c r="A2" i="39"/>
  <c r="A2" i="38"/>
  <c r="A2" i="37"/>
  <c r="A2" i="36"/>
  <c r="A2" i="35"/>
  <c r="F16" i="37"/>
  <c r="E16" i="37"/>
  <c r="D16" i="37"/>
  <c r="G20" i="36"/>
  <c r="F20" i="36"/>
  <c r="D7" i="46" l="1"/>
  <c r="D6" i="46"/>
  <c r="C7" i="46"/>
  <c r="C6" i="46"/>
  <c r="A2" i="34"/>
  <c r="A2" i="33"/>
  <c r="A2" i="32"/>
  <c r="A2" i="31"/>
  <c r="A2" i="29"/>
  <c r="A1" i="34"/>
  <c r="A1" i="33"/>
  <c r="A1" i="32"/>
  <c r="A1" i="31"/>
  <c r="A1" i="30"/>
  <c r="D27" i="33"/>
  <c r="C27" i="33"/>
  <c r="D18" i="33"/>
  <c r="C18" i="33"/>
  <c r="D25" i="32"/>
  <c r="C25" i="32"/>
  <c r="D17" i="32"/>
  <c r="C17" i="32"/>
  <c r="D35" i="31"/>
  <c r="C35" i="31"/>
  <c r="D25" i="31"/>
  <c r="D30" i="31" s="1"/>
  <c r="C25" i="31"/>
  <c r="C30" i="31" s="1"/>
  <c r="D13" i="31"/>
  <c r="D18" i="31" s="1"/>
  <c r="C13" i="31"/>
  <c r="C18" i="31" s="1"/>
  <c r="C32" i="33" l="1"/>
  <c r="C33" i="33"/>
  <c r="C34" i="33" s="1"/>
  <c r="D33" i="33"/>
  <c r="D34" i="33" s="1"/>
  <c r="D32" i="33"/>
  <c r="C36" i="31"/>
  <c r="D36" i="31"/>
  <c r="A2" i="28"/>
  <c r="A2" i="27"/>
  <c r="A2" i="26"/>
  <c r="A2" i="25"/>
  <c r="A2" i="24"/>
  <c r="A2" i="23"/>
  <c r="A2" i="22"/>
  <c r="A2" i="21"/>
  <c r="A2" i="20"/>
  <c r="A2" i="19"/>
  <c r="A1" i="19"/>
  <c r="A2" i="18"/>
  <c r="A2" i="17"/>
  <c r="A2" i="16"/>
  <c r="A2" i="15"/>
  <c r="A2" i="14"/>
  <c r="A1" i="18"/>
  <c r="A1" i="15"/>
  <c r="A1" i="29"/>
  <c r="A1" i="28"/>
  <c r="A1" i="27"/>
  <c r="A1" i="26"/>
  <c r="A1" i="25"/>
  <c r="A1" i="24"/>
  <c r="A1" i="23"/>
  <c r="A1" i="22"/>
  <c r="A1" i="21"/>
  <c r="A1" i="20"/>
  <c r="A1" i="17"/>
  <c r="A1" i="16"/>
  <c r="A1" i="14"/>
  <c r="D33" i="29"/>
  <c r="C33" i="29"/>
  <c r="D9" i="29"/>
  <c r="D11" i="29" s="1"/>
  <c r="D13" i="29" s="1"/>
  <c r="D15" i="29" s="1"/>
  <c r="D18" i="29" s="1"/>
  <c r="C9" i="29"/>
  <c r="C11" i="29" s="1"/>
  <c r="C13" i="29" s="1"/>
  <c r="C15" i="29" s="1"/>
  <c r="C18" i="29" s="1"/>
  <c r="E32" i="28"/>
  <c r="F19" i="28"/>
  <c r="F18" i="28"/>
  <c r="F16" i="28"/>
  <c r="F14" i="28"/>
  <c r="F13" i="28"/>
  <c r="F11" i="28"/>
  <c r="F10" i="28"/>
  <c r="F9" i="28"/>
  <c r="E8" i="28"/>
  <c r="E12" i="28" s="1"/>
  <c r="F7" i="28"/>
  <c r="F6" i="28"/>
  <c r="E15" i="27"/>
  <c r="D15" i="27"/>
  <c r="C15" i="27"/>
  <c r="F9" i="26"/>
  <c r="F11" i="26" s="1"/>
  <c r="F13" i="26" s="1"/>
  <c r="F15" i="26" s="1"/>
  <c r="F9" i="25"/>
  <c r="D9" i="24"/>
  <c r="D11" i="24" s="1"/>
  <c r="D13" i="24" s="1"/>
  <c r="D15" i="24" s="1"/>
  <c r="C43" i="23"/>
  <c r="C24" i="23"/>
  <c r="D46" i="23" s="1"/>
  <c r="D47" i="23" s="1"/>
  <c r="C12" i="23"/>
  <c r="C8" i="23"/>
  <c r="C17" i="22"/>
  <c r="C26" i="22" s="1"/>
  <c r="C9" i="22"/>
  <c r="E9" i="21"/>
  <c r="F11" i="25" l="1"/>
  <c r="F13" i="25" s="1"/>
  <c r="F15" i="25" s="1"/>
  <c r="F17" i="25" s="1"/>
  <c r="F25" i="25"/>
  <c r="F26" i="25" s="1"/>
  <c r="C29" i="22"/>
  <c r="C31" i="22" s="1"/>
  <c r="C32" i="22" s="1"/>
  <c r="C13" i="23"/>
  <c r="C15" i="23" s="1"/>
  <c r="C17" i="23" s="1"/>
  <c r="E11" i="21"/>
  <c r="E28" i="21"/>
  <c r="E29" i="21" s="1"/>
  <c r="C18" i="22"/>
  <c r="C20" i="22" s="1"/>
  <c r="C34" i="29"/>
  <c r="F12" i="28"/>
  <c r="E15" i="28"/>
  <c r="D34" i="29"/>
  <c r="F8" i="28"/>
  <c r="E13" i="21" l="1"/>
  <c r="E15" i="21" s="1"/>
  <c r="E25" i="21"/>
  <c r="F27" i="25"/>
  <c r="F28" i="25"/>
  <c r="F15" i="28"/>
  <c r="E17" i="28"/>
  <c r="F17" i="28" l="1"/>
  <c r="E20" i="28"/>
  <c r="F20" i="28" s="1"/>
  <c r="M84" i="4" l="1"/>
  <c r="N84" i="4"/>
  <c r="O84" i="4"/>
  <c r="G84" i="4"/>
  <c r="R98" i="4" l="1"/>
  <c r="A1" i="13" l="1"/>
  <c r="A1" i="12"/>
  <c r="A1" i="11"/>
  <c r="A1" i="10"/>
  <c r="L20" i="13"/>
  <c r="D51" i="11"/>
  <c r="D48" i="11"/>
  <c r="D55" i="10"/>
  <c r="D57" i="10" s="1"/>
  <c r="D59" i="10" s="1"/>
  <c r="D49" i="10"/>
  <c r="D51" i="10" s="1"/>
  <c r="D40" i="11"/>
  <c r="D39" i="11"/>
  <c r="D46" i="11"/>
  <c r="D42" i="11"/>
  <c r="P73" i="4"/>
  <c r="H73" i="4"/>
  <c r="I73" i="4" l="1"/>
  <c r="H84" i="4"/>
  <c r="Q73" i="4"/>
  <c r="Q84" i="4" s="1"/>
  <c r="P84" i="4"/>
  <c r="L21" i="13"/>
  <c r="L22" i="13" s="1"/>
  <c r="I16" i="12"/>
  <c r="K55" i="10"/>
  <c r="I17" i="12"/>
  <c r="D45" i="11"/>
  <c r="K57" i="10" l="1"/>
  <c r="K59" i="10" s="1"/>
  <c r="J73" i="4"/>
  <c r="I84" i="4"/>
  <c r="D47" i="11"/>
  <c r="D49" i="11" s="1"/>
  <c r="D52" i="11" s="1"/>
  <c r="K47" i="11"/>
  <c r="K49" i="11" s="1"/>
  <c r="K52" i="11" s="1"/>
  <c r="I18" i="12"/>
  <c r="I19" i="12" s="1"/>
  <c r="D38" i="11"/>
  <c r="K49" i="10"/>
  <c r="K51" i="10" s="1"/>
  <c r="K73" i="4" l="1"/>
  <c r="J84" i="4"/>
  <c r="D41" i="11"/>
  <c r="D43" i="11" s="1"/>
  <c r="L73" i="4" l="1"/>
  <c r="L84" i="4" s="1"/>
  <c r="K84" i="4"/>
  <c r="K41" i="11"/>
  <c r="K43" i="11" s="1"/>
  <c r="L23" i="13"/>
  <c r="A1" i="9" l="1"/>
  <c r="A1" i="8"/>
  <c r="A1" i="7"/>
  <c r="A1" i="5"/>
  <c r="A1" i="4"/>
  <c r="F100" i="5"/>
  <c r="F92" i="5"/>
  <c r="F96" i="5" s="1"/>
  <c r="F82" i="5"/>
  <c r="F87" i="5" s="1"/>
  <c r="F93" i="4"/>
  <c r="R79" i="4"/>
  <c r="R91" i="4"/>
  <c r="F88" i="4"/>
  <c r="R74" i="4"/>
  <c r="R90" i="4"/>
  <c r="R86" i="4"/>
  <c r="F101" i="5" l="1"/>
  <c r="F103" i="5" s="1"/>
  <c r="R87" i="4"/>
  <c r="R77" i="4"/>
  <c r="R75" i="4"/>
  <c r="R76" i="4" s="1"/>
  <c r="R78" i="4" l="1"/>
  <c r="R80" i="4" s="1"/>
  <c r="P103" i="5" l="1"/>
  <c r="P112" i="5" l="1"/>
  <c r="R85" i="4"/>
  <c r="R88" i="4" s="1"/>
  <c r="R81" i="4"/>
  <c r="R82" i="4" s="1"/>
  <c r="R92" i="4"/>
  <c r="R93" i="4" s="1"/>
  <c r="R99" i="4" l="1"/>
  <c r="R101" i="4" s="1"/>
  <c r="R102" i="4" s="1"/>
  <c r="M42" i="56"/>
  <c r="M43" i="56" s="1"/>
  <c r="M44" i="56" s="1"/>
</calcChain>
</file>

<file path=xl/sharedStrings.xml><?xml version="1.0" encoding="utf-8"?>
<sst xmlns="http://schemas.openxmlformats.org/spreadsheetml/2006/main" count="1419" uniqueCount="666">
  <si>
    <t>Disclaimer</t>
  </si>
  <si>
    <t>Copyright</t>
  </si>
  <si>
    <t>Financial statement analysis</t>
  </si>
  <si>
    <t>Transactions</t>
  </si>
  <si>
    <t>He invested 100,000 in the equity of the new company</t>
  </si>
  <si>
    <t>Assets</t>
  </si>
  <si>
    <t>=</t>
  </si>
  <si>
    <t>Liabilities &amp; Equity</t>
  </si>
  <si>
    <t>Cash</t>
  </si>
  <si>
    <t>Common stock</t>
  </si>
  <si>
    <t>Retained earnings</t>
  </si>
  <si>
    <t>He purchased 50,000 of carpet inventory at the start of the year with cash</t>
  </si>
  <si>
    <t>Inventory</t>
  </si>
  <si>
    <t>He took out a bank loan of 50,000 at the beginning of the year</t>
  </si>
  <si>
    <t>Debt</t>
  </si>
  <si>
    <t>The bank charged interest at 5% per year on the bank loan</t>
  </si>
  <si>
    <t>He spent 12,000 on equipment for the shop in cash</t>
  </si>
  <si>
    <t>PP&amp;E</t>
  </si>
  <si>
    <t>James made 200,000 in cash sales costing 40,000</t>
  </si>
  <si>
    <t>James paid utility bills of 5,000 in cash</t>
  </si>
  <si>
    <t>James paid himself a salary of 50,000 in cash</t>
  </si>
  <si>
    <t>The tax rate is 30% of profits before tax</t>
  </si>
  <si>
    <t>Financial statements</t>
  </si>
  <si>
    <t>Carpet Cavern: Income statement</t>
  </si>
  <si>
    <t>Total</t>
  </si>
  <si>
    <t>Sales</t>
  </si>
  <si>
    <t>Cost of goods sold</t>
  </si>
  <si>
    <t>Gross profit</t>
  </si>
  <si>
    <t>Selling, general and administrative</t>
  </si>
  <si>
    <t>Operating profit</t>
  </si>
  <si>
    <t>Interest expense</t>
  </si>
  <si>
    <t>Profit before tax</t>
  </si>
  <si>
    <t>Tax expense</t>
  </si>
  <si>
    <t>Net income / profit after tax</t>
  </si>
  <si>
    <t>Carpet Cavern: Balance sheet</t>
  </si>
  <si>
    <t>Beginning</t>
  </si>
  <si>
    <t>Ending</t>
  </si>
  <si>
    <t>Total assets</t>
  </si>
  <si>
    <t>Total liabilities and equity</t>
  </si>
  <si>
    <t>Cash received from customers</t>
  </si>
  <si>
    <t>Checks</t>
  </si>
  <si>
    <t>Net cash flow</t>
  </si>
  <si>
    <t>Check</t>
  </si>
  <si>
    <t>Beginning retained earnings balance</t>
  </si>
  <si>
    <t>Net income</t>
  </si>
  <si>
    <t>Dividends</t>
  </si>
  <si>
    <t>Ending retained earnings balance</t>
  </si>
  <si>
    <t>Ben and Jerry bought milk for 150,000 on credit</t>
  </si>
  <si>
    <t>Ben and Jerry bought a new machine for 80,000 in cash</t>
  </si>
  <si>
    <t>During the year they paid their management 49,000 in cash</t>
  </si>
  <si>
    <t>The bank charged 12% on their debt during the year. They paid in cash</t>
  </si>
  <si>
    <t>During the year, Ben and Jerry generated 200,890 in revenue. 10,000 was on credit and the rest was in cash</t>
  </si>
  <si>
    <t>Ben and Jerry's sales cost them 130,000</t>
  </si>
  <si>
    <t>Ben and Jerry's other administrative costs were 10,890 paid in cash</t>
  </si>
  <si>
    <t>Ben and Jerry paid dividends of 1,000 in cash</t>
  </si>
  <si>
    <t>Assume they recorded and paid 3,851 of tax during the year</t>
  </si>
  <si>
    <t>Accounts receivable</t>
  </si>
  <si>
    <t>Net PP&amp;E</t>
  </si>
  <si>
    <t>Accounts payable</t>
  </si>
  <si>
    <t>Other current assets</t>
  </si>
  <si>
    <t>Investments</t>
  </si>
  <si>
    <t>Other non-current assets</t>
  </si>
  <si>
    <t>Other current liabilities</t>
  </si>
  <si>
    <t>Paid in capital</t>
  </si>
  <si>
    <t>Ben and Jerry’s: Income statement</t>
  </si>
  <si>
    <t>Revenues</t>
  </si>
  <si>
    <t>SG&amp;A</t>
  </si>
  <si>
    <t>Ben and Jerry’s: Balance sheet</t>
  </si>
  <si>
    <t>Cash &amp; equivalents</t>
  </si>
  <si>
    <t>Total current assets</t>
  </si>
  <si>
    <t>Liabilities &amp; equity</t>
  </si>
  <si>
    <t>Total current liabilities</t>
  </si>
  <si>
    <t>Long term debt</t>
  </si>
  <si>
    <t>Other long term liabilities</t>
  </si>
  <si>
    <t>Total liabilities</t>
  </si>
  <si>
    <t>Total equity</t>
  </si>
  <si>
    <t>Total liabilities &amp; equity</t>
  </si>
  <si>
    <t>Balance check</t>
  </si>
  <si>
    <t>Topic</t>
  </si>
  <si>
    <t>Accounting fundamentals</t>
  </si>
  <si>
    <t>Template information</t>
  </si>
  <si>
    <t>What is the fundamental accounting equation?</t>
  </si>
  <si>
    <t>A</t>
  </si>
  <si>
    <t>B</t>
  </si>
  <si>
    <t>C</t>
  </si>
  <si>
    <t>D</t>
  </si>
  <si>
    <t>Assets = Liabilities</t>
  </si>
  <si>
    <t>Equity = Liabilities + Assets</t>
  </si>
  <si>
    <t>Liabilities + Equity = Assets</t>
  </si>
  <si>
    <t>Answer:</t>
  </si>
  <si>
    <t>Which of the following statements is correct?</t>
  </si>
  <si>
    <t xml:space="preserve">The income statement measures changes in: </t>
  </si>
  <si>
    <t>The number of clients a company has</t>
  </si>
  <si>
    <t>None of the above</t>
  </si>
  <si>
    <t>The income statement provides a snapshot at one moment in time</t>
  </si>
  <si>
    <t>The cash flow statement provides a snapshot at one moment in time</t>
  </si>
  <si>
    <t>The cash flow statement shows the cash flows for the entire accounting period</t>
  </si>
  <si>
    <t>The balance sheet shows the earnings for the entire accounting period</t>
  </si>
  <si>
    <t>Increases in equity must equal increases in cash</t>
  </si>
  <si>
    <t>7 a)</t>
  </si>
  <si>
    <t>7 b)</t>
  </si>
  <si>
    <t xml:space="preserve">	Bought inventory for 340 and paid in cash </t>
  </si>
  <si>
    <t xml:space="preserve">	Took out a bank loan amounting to 2,000. It is to be repaid in 5 years' time</t>
  </si>
  <si>
    <t xml:space="preserve">	Bought some equipment for 1,260 cash</t>
  </si>
  <si>
    <t>Paid suppliers 225 in cash</t>
  </si>
  <si>
    <t>Paid taxes of 68.4</t>
  </si>
  <si>
    <t>Taxes payable</t>
  </si>
  <si>
    <t>Balance sheet</t>
  </si>
  <si>
    <t>Inventories</t>
  </si>
  <si>
    <t>Long-term debt</t>
  </si>
  <si>
    <t>Shareholders' equity</t>
  </si>
  <si>
    <t>Chelsea also had the following transactions which you should record in the grid provided and then redraft the balance sheet accordingly:</t>
  </si>
  <si>
    <t>Inventory which cost 326 was sold for 780 on credit</t>
  </si>
  <si>
    <t>Marketing expenses of 265 were paid for in cash</t>
  </si>
  <si>
    <t>Interest on the bank loan for the period was 30 paid for in cash</t>
  </si>
  <si>
    <t>Wages and salaries (paid in cash) amounted to 90</t>
  </si>
  <si>
    <t>Tax expense for the period (still unpaid) was 20</t>
  </si>
  <si>
    <t>Share capital</t>
  </si>
  <si>
    <t>Operating costs</t>
  </si>
  <si>
    <t>Beginning retained earnings</t>
  </si>
  <si>
    <t>Net income for the period</t>
  </si>
  <si>
    <t>Ending retained earnings</t>
  </si>
  <si>
    <t xml:space="preserve">Cash paid to suppliers </t>
  </si>
  <si>
    <t>Cash paid to employees</t>
  </si>
  <si>
    <t>Cash paid to bank for interest</t>
  </si>
  <si>
    <t>Cash paid for taxes</t>
  </si>
  <si>
    <t>Equipment purchased</t>
  </si>
  <si>
    <t>Loan taken out</t>
  </si>
  <si>
    <t>Beginning cash</t>
  </si>
  <si>
    <t>Ending cash</t>
  </si>
  <si>
    <t>When you have recorded each transaction, prepare the closing balance sheet.</t>
  </si>
  <si>
    <t>During the month Chelsea has entered into the transactions shown in the list below. Using the grids provided, show how each transaction should be recorded.</t>
  </si>
  <si>
    <t>Opening</t>
  </si>
  <si>
    <t>Closing</t>
  </si>
  <si>
    <t>1 a)</t>
  </si>
  <si>
    <t>1 b)</t>
  </si>
  <si>
    <t>Chelsea's cash flow statement</t>
  </si>
  <si>
    <t>Chelsea's income statement</t>
  </si>
  <si>
    <t>He rented a shop for 10,000 per year paying with cash</t>
  </si>
  <si>
    <t>Received cash of 290 from customers</t>
  </si>
  <si>
    <t>Income statement</t>
  </si>
  <si>
    <t>When would the following companies account for revenues and when do they receive cash from their customers?</t>
  </si>
  <si>
    <t>Intel</t>
  </si>
  <si>
    <t>Answer</t>
  </si>
  <si>
    <t xml:space="preserve">Name two accounts in the balance sheet which are directly linked to sales. </t>
  </si>
  <si>
    <t xml:space="preserve">Southern Smoothies, a drinks company, was under a great deal of pressure to meet its interim earnings target.  The CEO Mike Moth decided to incentivize his customers.   </t>
  </si>
  <si>
    <t xml:space="preserve">He told them that if they doubled their order for that month, they would not have to pay for six months, and that he would help them with storage costs.  </t>
  </si>
  <si>
    <t>How could you tell what Mike was doing by looking at the accounts?</t>
  </si>
  <si>
    <t>You are advising a contractor to the Government.  They were recently awarded a 100m contract to build a heath care</t>
  </si>
  <si>
    <t xml:space="preserve">IT system.  The company estimates they will be able to fulfill the contract over two years.  </t>
  </si>
  <si>
    <t xml:space="preserve">How would you account for this sale? </t>
  </si>
  <si>
    <t>Which account on the balance sheet is linked directly to the cost of goods sold?</t>
  </si>
  <si>
    <t>Which types of firms don’t have gross profits?</t>
  </si>
  <si>
    <t>Which type of firms will have most of their depreciation in cost of goods sold?</t>
  </si>
  <si>
    <t>Calculate EBIT and EBITDA for the following business:</t>
  </si>
  <si>
    <t>Escalante's income statement</t>
  </si>
  <si>
    <t>You find out the following information from a review of the footnotes:</t>
  </si>
  <si>
    <t>Depreciation and amortization in the CFS is 66,773</t>
  </si>
  <si>
    <t>Research and development is 2,300</t>
  </si>
  <si>
    <t>There is a legal claim provision of 31,900 with regard to a failed product in SG&amp;A</t>
  </si>
  <si>
    <t>The marginal tax rate is 36%</t>
  </si>
  <si>
    <t xml:space="preserve">Your boss has told you that the line called "Service Charges, Interest and Other Income" is non-core, not continuing and not controlled. </t>
  </si>
  <si>
    <t>Net Sales</t>
  </si>
  <si>
    <t>Service Charges, Interest and Other Income</t>
  </si>
  <si>
    <t>Costs and Expenses:</t>
  </si>
  <si>
    <t xml:space="preserve">   Cost of sales</t>
  </si>
  <si>
    <t xml:space="preserve">   Advertising, selling, administrative and general expenses</t>
  </si>
  <si>
    <t xml:space="preserve">   Depreciation and amortization</t>
  </si>
  <si>
    <t xml:space="preserve">   Rentals</t>
  </si>
  <si>
    <t xml:space="preserve">   Interest and debt expense</t>
  </si>
  <si>
    <t xml:space="preserve">   Asset impairment and store closure charges</t>
  </si>
  <si>
    <t xml:space="preserve">      Total costs and expenses</t>
  </si>
  <si>
    <t>Income Before Income Taxes</t>
  </si>
  <si>
    <t>Income Taxes</t>
  </si>
  <si>
    <t>Net Income</t>
  </si>
  <si>
    <t>Net revenue</t>
  </si>
  <si>
    <t>Cost of revenue</t>
  </si>
  <si>
    <t xml:space="preserve">   Gross margin</t>
  </si>
  <si>
    <t>Operating expenses:</t>
  </si>
  <si>
    <t xml:space="preserve">   Selling, general and administration</t>
  </si>
  <si>
    <t xml:space="preserve">   Research, development and engineering</t>
  </si>
  <si>
    <t xml:space="preserve">      Total operating expenses</t>
  </si>
  <si>
    <t xml:space="preserve">     Operating income</t>
  </si>
  <si>
    <t>Investment and other income, net</t>
  </si>
  <si>
    <t xml:space="preserve">   Income before income taxes</t>
  </si>
  <si>
    <t>Income tax provision</t>
  </si>
  <si>
    <t xml:space="preserve">   Net income</t>
  </si>
  <si>
    <t>Note 9 - Segment information</t>
  </si>
  <si>
    <t>Consolidated operating income</t>
  </si>
  <si>
    <t xml:space="preserve">   Total consolidated segment operating income</t>
  </si>
  <si>
    <t xml:space="preserve">   Other product charges *</t>
  </si>
  <si>
    <t xml:space="preserve">   Selling, general, and administration charges **</t>
  </si>
  <si>
    <t>Total consolidated operating income</t>
  </si>
  <si>
    <t>** Charges relate to workforce realignment expenses, primarily for severance and related costs of $50 million, cost of operating leases on office space</t>
  </si>
  <si>
    <t>no longer utilized of $4 million, and a write-off of goodwill of $29 million.</t>
  </si>
  <si>
    <t>Cash flows from operating activities</t>
  </si>
  <si>
    <t xml:space="preserve">   Adjustments to reconcile net income to net cash provided by operating activities</t>
  </si>
  <si>
    <t xml:space="preserve">      Depreciation and amortization</t>
  </si>
  <si>
    <t xml:space="preserve">      Tax benefits of employee stock plans</t>
  </si>
  <si>
    <t xml:space="preserve">      FX effects</t>
  </si>
  <si>
    <t xml:space="preserve">      Other</t>
  </si>
  <si>
    <t xml:space="preserve">   Changes in:</t>
  </si>
  <si>
    <t xml:space="preserve">      Operating working capital</t>
  </si>
  <si>
    <t xml:space="preserve">      Non-current assets and liabilities</t>
  </si>
  <si>
    <t xml:space="preserve">         Net cash provided by operating activities</t>
  </si>
  <si>
    <t>Calculate the ETR and the normalized ETR for KenKey Ltd:</t>
  </si>
  <si>
    <t>KenKey Ltd income statement</t>
  </si>
  <si>
    <t>Non-recurring charge in COGS</t>
  </si>
  <si>
    <t>MTR</t>
  </si>
  <si>
    <t>Calculate the cleaned net income for Avenue Inc using the information given below:</t>
  </si>
  <si>
    <t>Avenue Inc income statement</t>
  </si>
  <si>
    <t>Profit after tax</t>
  </si>
  <si>
    <t xml:space="preserve">Loss from discontinued business </t>
  </si>
  <si>
    <t>You discover the following from reading the footnotes:</t>
  </si>
  <si>
    <t>Non-recurring gain in SG&amp;A</t>
  </si>
  <si>
    <t>Calculate ETR, normalized ETR, and normalized net income for the following business.</t>
  </si>
  <si>
    <t xml:space="preserve">Your boss has told you that the effective tax rate for the prior year was 36.2% and would like you to explain why it is so different in the latest year. </t>
  </si>
  <si>
    <t>Year 3</t>
  </si>
  <si>
    <t>Year 2</t>
  </si>
  <si>
    <t>Year 1</t>
  </si>
  <si>
    <t>Income tax at the statutory federal rate</t>
  </si>
  <si>
    <t>State income taxes, net of federal benefit</t>
  </si>
  <si>
    <t>Nondeductable goodwill write off</t>
  </si>
  <si>
    <t>Changes in tax rate</t>
  </si>
  <si>
    <t>Benefit of capital loss carrybacks</t>
  </si>
  <si>
    <t>Other</t>
  </si>
  <si>
    <t>Income taxes reported in the income statement</t>
  </si>
  <si>
    <t>Amounts</t>
  </si>
  <si>
    <t>% of sales</t>
  </si>
  <si>
    <t>NET SALES</t>
  </si>
  <si>
    <t>Cost of sales, buying and warehousing</t>
  </si>
  <si>
    <t>GROSS PROFIT</t>
  </si>
  <si>
    <t>Finance income</t>
  </si>
  <si>
    <t>Selling, general and administrative expenses</t>
  </si>
  <si>
    <t>Stock-based compensation expense</t>
  </si>
  <si>
    <t>OPERATING INCOME (LOSS)</t>
  </si>
  <si>
    <t>Interest income</t>
  </si>
  <si>
    <t>Earnings (loss) from continuing operations before income taxes</t>
  </si>
  <si>
    <t>Income tax provision (benefit)</t>
  </si>
  <si>
    <t>NET EARNINGS (LOSS) FROM CONTINUING OPERATIONS</t>
  </si>
  <si>
    <t>LOSS FROM DISCONTINUED OPERATIONS, NET OF TAX</t>
  </si>
  <si>
    <t>CUMULATIVE EFFECT OF CHANGE IN ACCOUNTING PRINCIPLE, NET OF TAX</t>
  </si>
  <si>
    <t>NET EARNINGS (LOSS)</t>
  </si>
  <si>
    <t>Federal statutory income tax rate</t>
  </si>
  <si>
    <t>%</t>
  </si>
  <si>
    <t>State and local income taxes, net of federal benefit</t>
  </si>
  <si>
    <t>Non-deductible meals and entertainment</t>
  </si>
  <si>
    <t>Non-deductible contributions</t>
  </si>
  <si>
    <t>Resolution of prior year taxes</t>
  </si>
  <si>
    <t>Taxes on foreign income that differ from the federal statutory rate</t>
  </si>
  <si>
    <t>Change in statutory rate of deferred tax (liability) asset</t>
  </si>
  <si>
    <t>Federal and state tax credits</t>
  </si>
  <si>
    <t>Effective income tax rate</t>
  </si>
  <si>
    <t>Revenue</t>
  </si>
  <si>
    <t>Operating income</t>
  </si>
  <si>
    <t>Net interest income (expense)</t>
  </si>
  <si>
    <t>Earnings from continuing operations before tax</t>
  </si>
  <si>
    <t>Income tax expense</t>
  </si>
  <si>
    <t>Earnings from continuing operations</t>
  </si>
  <si>
    <t>Loss from discontinued operations, net of tax</t>
  </si>
  <si>
    <t>Gain (loss) on disposal of disc. Operations, net of tax</t>
  </si>
  <si>
    <t>Net earnings</t>
  </si>
  <si>
    <t>Impairment of Long-Lived Assets and Costs Associated With Exit Activities</t>
  </si>
  <si>
    <t xml:space="preserve">Impairment charges are included in selling general and admistrative expenses and relate to our Domestic segment operations. </t>
  </si>
  <si>
    <t>9. Income Taxes</t>
  </si>
  <si>
    <t>Federal income tax at the statutory rate</t>
  </si>
  <si>
    <t>Distributed earnings of foreign subsidiaries</t>
  </si>
  <si>
    <t>Benefit from foreign operations</t>
  </si>
  <si>
    <t>Non-taxable interest income</t>
  </si>
  <si>
    <t>Julio Corp discloses the following information for the month of June:</t>
  </si>
  <si>
    <t>Date</t>
  </si>
  <si>
    <t>Transaction</t>
  </si>
  <si>
    <t>Volume</t>
  </si>
  <si>
    <t>Value per unit</t>
  </si>
  <si>
    <t>June 1</t>
  </si>
  <si>
    <t>Balance</t>
  </si>
  <si>
    <t>June 11</t>
  </si>
  <si>
    <t>Purchased</t>
  </si>
  <si>
    <t>June 20</t>
  </si>
  <si>
    <t>June 10</t>
  </si>
  <si>
    <t>Sold</t>
  </si>
  <si>
    <t>June 15</t>
  </si>
  <si>
    <t>June 27</t>
  </si>
  <si>
    <t>Using the information from the balance sheets below, calculate the company's working capital and operating working capital:</t>
  </si>
  <si>
    <t>Cash &amp; cash equivalents</t>
  </si>
  <si>
    <t>Marketable securities</t>
  </si>
  <si>
    <t>Receivables</t>
  </si>
  <si>
    <t>Deferred income tax assets</t>
  </si>
  <si>
    <t>Goodwill</t>
  </si>
  <si>
    <t>Long term deferred income tax assets</t>
  </si>
  <si>
    <t>Short term borrowings</t>
  </si>
  <si>
    <t>Long term debt currently payable</t>
  </si>
  <si>
    <t>Dividends payable</t>
  </si>
  <si>
    <t>Deferred income tax liabilities</t>
  </si>
  <si>
    <t>Long term borrowings</t>
  </si>
  <si>
    <t>Post employment benefits</t>
  </si>
  <si>
    <t>Long term deferred tax liabilities</t>
  </si>
  <si>
    <t>Additional paid in capital</t>
  </si>
  <si>
    <t>Treasury stock</t>
  </si>
  <si>
    <t>Total shareholders' equity</t>
  </si>
  <si>
    <t xml:space="preserve">Company X sells home improvement products. Its competitive advantage is the wider range of products the company has available in its stores. </t>
  </si>
  <si>
    <t xml:space="preserve">It has to maintain large amounts of inventory to sustain its competitive advantage. </t>
  </si>
  <si>
    <t>Over the last two years its sales and current assets and liabilities were as follows:</t>
  </si>
  <si>
    <t>COGS</t>
  </si>
  <si>
    <t>Short term investments</t>
  </si>
  <si>
    <t>Receivables, net</t>
  </si>
  <si>
    <t>Accrued salaries</t>
  </si>
  <si>
    <t>Sales taxes payable</t>
  </si>
  <si>
    <t>Other accrued expenses</t>
  </si>
  <si>
    <t>Income taxes payable</t>
  </si>
  <si>
    <t>Current installments of LTD</t>
  </si>
  <si>
    <t>Calculate the following:</t>
  </si>
  <si>
    <t>WC</t>
  </si>
  <si>
    <t>OWC</t>
  </si>
  <si>
    <t>OWC as % of sales</t>
  </si>
  <si>
    <t>Ending receivable days</t>
  </si>
  <si>
    <t>Ending inventory days</t>
  </si>
  <si>
    <t xml:space="preserve">Ending payable days </t>
  </si>
  <si>
    <t>If sales grow by 10% and OWC as % of sales stays steady, what is the OWC at the end of year 3?</t>
  </si>
  <si>
    <t>Sales growth rate</t>
  </si>
  <si>
    <t>New sales</t>
  </si>
  <si>
    <t>OWC % of sales</t>
  </si>
  <si>
    <t>What will be the impact on cash flow during year 3?</t>
  </si>
  <si>
    <t>Cash flow impact</t>
  </si>
  <si>
    <t>If sales fall by 10% and OWC as % of sales stays steady, what is the OWC at the end of year 3?</t>
  </si>
  <si>
    <t xml:space="preserve">Airline Co operates a global airline business. It receives cash from its customers before it flies them. </t>
  </si>
  <si>
    <t xml:space="preserve">The cash received is accounted for by an increase in cash and a corresponding increase in the current air traffic liability. </t>
  </si>
  <si>
    <t>Here is some information about the airline:</t>
  </si>
  <si>
    <t>Total operating revenues</t>
  </si>
  <si>
    <t>Deferred income taxes</t>
  </si>
  <si>
    <t>Short term debt</t>
  </si>
  <si>
    <t>Accrued salaries and wages</t>
  </si>
  <si>
    <t>Accrued liabilities</t>
  </si>
  <si>
    <t>Air traffic liability</t>
  </si>
  <si>
    <t>Current maturities of LTD</t>
  </si>
  <si>
    <t>Current capital leases</t>
  </si>
  <si>
    <t>Case 1</t>
  </si>
  <si>
    <t>Case 2</t>
  </si>
  <si>
    <t>Receivable days</t>
  </si>
  <si>
    <t>Inventory days</t>
  </si>
  <si>
    <t>Payable days</t>
  </si>
  <si>
    <t>Days funding (provided) / required</t>
  </si>
  <si>
    <t>Current assets &amp; liabilities</t>
  </si>
  <si>
    <t>Non-current assets</t>
  </si>
  <si>
    <t xml:space="preserve">Your boss has asked you to make some changes to a forecast model and to sanity check the output once the changes are processed. </t>
  </si>
  <si>
    <t>She suggests you check the following line items:</t>
  </si>
  <si>
    <t>Rio Fashions &amp; Co</t>
  </si>
  <si>
    <t>Gross PP&amp;E</t>
  </si>
  <si>
    <t>Accumulated depreciation</t>
  </si>
  <si>
    <t>Predict what these numbers will be when you increase the warehouse depreciation expense by 156:</t>
  </si>
  <si>
    <t>Depreciation expense increase</t>
  </si>
  <si>
    <t>Rio Fashions &amp; Co - adjusted for extra depreciation</t>
  </si>
  <si>
    <t>Predict what these numbers will be when you increase the capital expenditure by 320 (paid in cash). Assume the first change has not yet been made:</t>
  </si>
  <si>
    <t>Capital expenditure increase</t>
  </si>
  <si>
    <t>Rio Fashions &amp; Co - adjusted for extra capital expenditure</t>
  </si>
  <si>
    <t>Property, plant &amp; equipment, at cost:</t>
  </si>
  <si>
    <t>Land &amp; land improvements</t>
  </si>
  <si>
    <t>Buildings &amp; improvements</t>
  </si>
  <si>
    <t>Machinery &amp; equipment</t>
  </si>
  <si>
    <t>Gross property, plant &amp; equipment</t>
  </si>
  <si>
    <t>Less accumulated depreciation</t>
  </si>
  <si>
    <t>Net property, plant &amp; equipment</t>
  </si>
  <si>
    <t xml:space="preserve">	Depreciation will remain as 15% of last year's net PP&amp;E</t>
  </si>
  <si>
    <t xml:space="preserve">	Capital expenditure will remain as 8% of the same year sales</t>
  </si>
  <si>
    <t>Proj. Year 1</t>
  </si>
  <si>
    <t>Proj. Year 2</t>
  </si>
  <si>
    <t>S</t>
  </si>
  <si>
    <t>E</t>
  </si>
  <si>
    <t>Income statement depreciation expense</t>
  </si>
  <si>
    <t xml:space="preserve">They asked their new analyst to prepare a depreciation schedule for the factory using three different methods; straight line, sum-of-the-years’- digits (SYD), and double declining balance (DDB). </t>
  </si>
  <si>
    <t>They estimated the factory would have a zero salvage value. Below are the schedules she prepared:</t>
  </si>
  <si>
    <t>Year</t>
  </si>
  <si>
    <t>Straight line</t>
  </si>
  <si>
    <t>SYD</t>
  </si>
  <si>
    <t>DDB</t>
  </si>
  <si>
    <t>What is the cost of the asset being depreciated?</t>
  </si>
  <si>
    <t>Excluding the impact of taxes, which depreciation method will save the most cash?</t>
  </si>
  <si>
    <t>Which method will produce the highest charge to net income in year 1?</t>
  </si>
  <si>
    <t>Which method will produce the highest charge to net income in year 4?</t>
  </si>
  <si>
    <t>Which method is the most efficient from a taxation point of view?</t>
  </si>
  <si>
    <t>Which method gives the highest net book value at the end of year 3?</t>
  </si>
  <si>
    <t xml:space="preserve">You purchase an ice cream making machine for your new ice cream making business. The machine costs 7,500. </t>
  </si>
  <si>
    <t xml:space="preserve">You expect the machine to last you three years and depreciate fairly evenly each year.  </t>
  </si>
  <si>
    <t>At the end of three years you approximate the salvage value of the machine to be 500. Complete the table:</t>
  </si>
  <si>
    <t>Year 0</t>
  </si>
  <si>
    <t>Cost of machine</t>
  </si>
  <si>
    <t>Salvage value</t>
  </si>
  <si>
    <t>Useful life (years)</t>
  </si>
  <si>
    <t>Depreciation</t>
  </si>
  <si>
    <t>Gross value</t>
  </si>
  <si>
    <t>Acc depreciation</t>
  </si>
  <si>
    <t>Net value</t>
  </si>
  <si>
    <t>What makes intangible assets different from other PP&amp;E?</t>
  </si>
  <si>
    <t>How do we reduce intangible assets over time?</t>
  </si>
  <si>
    <t>Which of the following are not intangible assets?</t>
  </si>
  <si>
    <t>A building</t>
  </si>
  <si>
    <t>A patent a company has purchased</t>
  </si>
  <si>
    <t>Rights to a broadcasting license</t>
  </si>
  <si>
    <t>Inventories ready to be sold</t>
  </si>
  <si>
    <t>Orders from customers that have not been shipped</t>
  </si>
  <si>
    <t>Is amortization a cash expense?</t>
  </si>
  <si>
    <t>You purchase a patent for a special ice cream making recipe. The patent costs you 2,500 and lasts fifteen years. Fill out the following table:</t>
  </si>
  <si>
    <t>Year 4</t>
  </si>
  <si>
    <t>Year 5</t>
  </si>
  <si>
    <t>Year 6</t>
  </si>
  <si>
    <t>Year 7</t>
  </si>
  <si>
    <t>Year 8</t>
  </si>
  <si>
    <t>Year 9</t>
  </si>
  <si>
    <t>Year 10</t>
  </si>
  <si>
    <t>Year 11</t>
  </si>
  <si>
    <t>Year 12</t>
  </si>
  <si>
    <t>Year 13</t>
  </si>
  <si>
    <t>Year 14</t>
  </si>
  <si>
    <t>Year 15</t>
  </si>
  <si>
    <t>Cost of patent</t>
  </si>
  <si>
    <t>Amortization</t>
  </si>
  <si>
    <t>Net intangible asset</t>
  </si>
  <si>
    <t>Non current assets</t>
  </si>
  <si>
    <t>Debt and equity</t>
  </si>
  <si>
    <t>Below are the balance sheet liabilities of a business to which you are pitching. Your boss has asked you to calculate the debt numbers at each year end.</t>
  </si>
  <si>
    <t>Current liabilities</t>
  </si>
  <si>
    <t>Payables</t>
  </si>
  <si>
    <t>Interest bearing liabilities</t>
  </si>
  <si>
    <t>Current tax liabilities</t>
  </si>
  <si>
    <t>Provisions</t>
  </si>
  <si>
    <t>Non-current liabilities</t>
  </si>
  <si>
    <t>Deferred tax liabilities</t>
  </si>
  <si>
    <t>Total non-current liabilities</t>
  </si>
  <si>
    <t>Total debt</t>
  </si>
  <si>
    <t>Current assets</t>
  </si>
  <si>
    <t>Cash assets</t>
  </si>
  <si>
    <t>Property, plant and equipment</t>
  </si>
  <si>
    <t>Agricultural assets</t>
  </si>
  <si>
    <t>Intangible assets</t>
  </si>
  <si>
    <t>Deferred tax assets</t>
  </si>
  <si>
    <t>Total non-current assets</t>
  </si>
  <si>
    <t>Your boss also gives you the income statement and asks you to calculate the following metrics:</t>
  </si>
  <si>
    <t>Total debt / EBITDA</t>
  </si>
  <si>
    <t>EBITDA / Interest expense</t>
  </si>
  <si>
    <t>Net sales</t>
  </si>
  <si>
    <t>Selling expenses</t>
  </si>
  <si>
    <t>Marketing expenses</t>
  </si>
  <si>
    <t>Distribution expenses</t>
  </si>
  <si>
    <t>Administration expenses</t>
  </si>
  <si>
    <t>Other expenses</t>
  </si>
  <si>
    <t>Earnings before interest and income tax</t>
  </si>
  <si>
    <t>Interest revenue</t>
  </si>
  <si>
    <t>Borrowing expenses</t>
  </si>
  <si>
    <t>Profit before taxes</t>
  </si>
  <si>
    <t>Net profit</t>
  </si>
  <si>
    <t>From a review of the footnotes you discover that depreciation is 136.7 and 162.0 for each respective year and that amortization is 68.2 and 51.4, respectively.</t>
  </si>
  <si>
    <t>Amortizaton</t>
  </si>
  <si>
    <t>Dec 31,</t>
  </si>
  <si>
    <t>Current assets:</t>
  </si>
  <si>
    <t>Accounts receivables</t>
  </si>
  <si>
    <t>Prepaid expenses and other current assets</t>
  </si>
  <si>
    <t>Property, plant and equipment, net</t>
  </si>
  <si>
    <t>Trademarks</t>
  </si>
  <si>
    <t>Other intangibles, net</t>
  </si>
  <si>
    <t>Other assets</t>
  </si>
  <si>
    <t>Long-term deferred tax asset</t>
  </si>
  <si>
    <t>Liabilities and stockholders' equity</t>
  </si>
  <si>
    <t>Current liabilties:</t>
  </si>
  <si>
    <t>Pension and other postretirement benefit liabilities</t>
  </si>
  <si>
    <t>Other non-current liabilities</t>
  </si>
  <si>
    <t>Capital in excess of par value</t>
  </si>
  <si>
    <t>Accumulated other comprehensive income</t>
  </si>
  <si>
    <t>Total liabilities and shareholder's equity</t>
  </si>
  <si>
    <t>Jan 31,</t>
  </si>
  <si>
    <t>Cash and cash equivalents</t>
  </si>
  <si>
    <t>Prepaid expenses and other</t>
  </si>
  <si>
    <t>Property and equipment, at cost:</t>
  </si>
  <si>
    <t>Land</t>
  </si>
  <si>
    <t>Buildings and improvements</t>
  </si>
  <si>
    <t>Fixtures and equipment</t>
  </si>
  <si>
    <t>Transportation equipment</t>
  </si>
  <si>
    <t>Property and equipment, net</t>
  </si>
  <si>
    <t>Property and equipment, under capital lease:</t>
  </si>
  <si>
    <t>Property under capital lease</t>
  </si>
  <si>
    <t>Less accumulated amortization</t>
  </si>
  <si>
    <t>Property under capital lease, net</t>
  </si>
  <si>
    <t>Other assets and deferred charges</t>
  </si>
  <si>
    <t>Liabilities and shareholders' equity</t>
  </si>
  <si>
    <t>Commercial paper</t>
  </si>
  <si>
    <t>Accrued income taxes</t>
  </si>
  <si>
    <t>Long-term debt due within one year</t>
  </si>
  <si>
    <t>Obligations under capital leases due within one year</t>
  </si>
  <si>
    <t>Long-term obligations under capital leases</t>
  </si>
  <si>
    <t>Deferred income taxes and other</t>
  </si>
  <si>
    <t>Noncontrolling interest</t>
  </si>
  <si>
    <t>balance sheet and related note extracts. Assume that interest rate</t>
  </si>
  <si>
    <t>derivatives are being used to hedge debt and that the other financial</t>
  </si>
  <si>
    <t>assets are operating items.</t>
  </si>
  <si>
    <t>Jan 26,</t>
  </si>
  <si>
    <t>Trade and other receivables</t>
  </si>
  <si>
    <t>Other financial assets</t>
  </si>
  <si>
    <t>Cash and short term deposits</t>
  </si>
  <si>
    <t>Bank overdrafts</t>
  </si>
  <si>
    <t>Unsecured bank loans</t>
  </si>
  <si>
    <t>Trade and other payabales</t>
  </si>
  <si>
    <t>Other financial laibilites</t>
  </si>
  <si>
    <t>Current tax laibility</t>
  </si>
  <si>
    <t>Corporate bonds</t>
  </si>
  <si>
    <t>Net retirement benefit obligation</t>
  </si>
  <si>
    <t>Other financial liabilities</t>
  </si>
  <si>
    <t>Other liabilities</t>
  </si>
  <si>
    <t>Total non current liabilities</t>
  </si>
  <si>
    <t>Complete the table below after following the chain of events:</t>
  </si>
  <si>
    <t xml:space="preserve">	The shareholders of Clockwork agreed to increase the authorized number of shares by 1,500,000</t>
  </si>
  <si>
    <t xml:space="preserve">	The CFO asks Clockwork's investment bank to purchase 530,000 shares on the company's behalf. The CFO will account for this transaction as an increase in the company's treasury stock</t>
  </si>
  <si>
    <t xml:space="preserve">	The CFO also issues an additional 190,987 new shares (he does not use shares in the treasury stock account), after Clockwork's executive management exercise some of their share options</t>
  </si>
  <si>
    <t>Clockwork</t>
  </si>
  <si>
    <t>Shares authorized</t>
  </si>
  <si>
    <t>Shares issued</t>
  </si>
  <si>
    <t>Shares outstanding</t>
  </si>
  <si>
    <t>Authorized shares change</t>
  </si>
  <si>
    <t>Share repurchase</t>
  </si>
  <si>
    <t>Share issue</t>
  </si>
  <si>
    <t>Pre-adjust</t>
  </si>
  <si>
    <t>Adj.</t>
  </si>
  <si>
    <t>Post-adjust</t>
  </si>
  <si>
    <t>Complete the table below after the following transactions:</t>
  </si>
  <si>
    <t xml:space="preserve">	Clockwork issues an additional 2,000 shares at a price of 50</t>
  </si>
  <si>
    <t xml:space="preserve">	The new shares have a par value of 1</t>
  </si>
  <si>
    <t xml:space="preserve">	As part of Clockwork's ongoing share repurchase program the company repurchases 5,000 shares at a price of 55</t>
  </si>
  <si>
    <t>APIC</t>
  </si>
  <si>
    <t>Number of shares issued</t>
  </si>
  <si>
    <t>Issue price</t>
  </si>
  <si>
    <t xml:space="preserve">Par value of shares </t>
  </si>
  <si>
    <t>Number of shares repurchased</t>
  </si>
  <si>
    <t>Repurchase price</t>
  </si>
  <si>
    <t>Using the following information complete Blake's end of year retained earnings balance:</t>
  </si>
  <si>
    <t xml:space="preserve">Revenues during the year were </t>
  </si>
  <si>
    <t xml:space="preserve">Operating costs (excluding taxes) were </t>
  </si>
  <si>
    <t xml:space="preserve">Tax expense was </t>
  </si>
  <si>
    <t xml:space="preserve">Beginning retained earnings was </t>
  </si>
  <si>
    <t>A common stock dividend was declared and paid before the year end</t>
  </si>
  <si>
    <t>Debt &amp; Equity</t>
  </si>
  <si>
    <t>Cash flow statement</t>
  </si>
  <si>
    <t>Use the following financial statements to build a cash flow statement:</t>
  </si>
  <si>
    <t>Earnings before tax</t>
  </si>
  <si>
    <t>Tax provision</t>
  </si>
  <si>
    <t>Your boss has given you a part completed forecast for Joe Bloggs and has asked you to build the cash flow statement. You are presented with the following information:</t>
  </si>
  <si>
    <t>Joe Bloggs Income statement projection</t>
  </si>
  <si>
    <t>Hist.</t>
  </si>
  <si>
    <t>Proj.</t>
  </si>
  <si>
    <t>COGS (excl. depreciation)</t>
  </si>
  <si>
    <t>SG&amp;A (excl. depreciation)</t>
  </si>
  <si>
    <t xml:space="preserve">EBITDA </t>
  </si>
  <si>
    <t xml:space="preserve">EBIT </t>
  </si>
  <si>
    <t>Taxes</t>
  </si>
  <si>
    <t>Shareholder information:</t>
  </si>
  <si>
    <t>Weighted average shares outstanding</t>
  </si>
  <si>
    <t>Earnings per share</t>
  </si>
  <si>
    <t>Net PP&amp;E, beginning balance</t>
  </si>
  <si>
    <t>Capital expenditures</t>
  </si>
  <si>
    <t>Annual depreciation</t>
  </si>
  <si>
    <t>Net PP&amp;E, ending balance</t>
  </si>
  <si>
    <t>Beginning balance</t>
  </si>
  <si>
    <t>Dividends paid</t>
  </si>
  <si>
    <t>Ending balance</t>
  </si>
  <si>
    <t xml:space="preserve">Operating working capital </t>
  </si>
  <si>
    <t>Total current assets excluding cash</t>
  </si>
  <si>
    <t>Operating working capital</t>
  </si>
  <si>
    <t>Beginning amount</t>
  </si>
  <si>
    <t xml:space="preserve">Issuance </t>
  </si>
  <si>
    <t>Scheduled repayment</t>
  </si>
  <si>
    <t>Ending amount</t>
  </si>
  <si>
    <t>Using the information from the previous question and answer, draft the balance sheet that will integrate with the cash flow and income statement forecast.</t>
  </si>
  <si>
    <t>Revolver</t>
  </si>
  <si>
    <t>Capital stock</t>
  </si>
  <si>
    <t>Prepare a cash flow statement for Riley Scooters from the following financial statements:</t>
  </si>
  <si>
    <t>Income before tax</t>
  </si>
  <si>
    <t xml:space="preserve">Taxes </t>
  </si>
  <si>
    <t>Accrued taxes</t>
  </si>
  <si>
    <t>Rework you answers to the previous cash flow statement but start your operating cash flow with EBIT instead of net income.</t>
  </si>
  <si>
    <t>Derive a cash flow statement from the following income statement and balance sheet. Assume that the short-term investments are marketable securities, easily converted into cash.</t>
  </si>
  <si>
    <t>Net interest expense</t>
  </si>
  <si>
    <t>Income taxes</t>
  </si>
  <si>
    <t>Short-term investments</t>
  </si>
  <si>
    <t>Intangibles</t>
  </si>
  <si>
    <t>Notes payable</t>
  </si>
  <si>
    <t>Accounts payable &amp; accruals</t>
  </si>
  <si>
    <t>Long term senior debt</t>
  </si>
  <si>
    <t>Deferred taxes</t>
  </si>
  <si>
    <t>Less: treasury stock</t>
  </si>
  <si>
    <t>Prepare a cash flow statement for Chrysler Corporation. Assume that the short term investments are illiquid.</t>
  </si>
  <si>
    <t>Selling, general &amp; administration</t>
  </si>
  <si>
    <t>Net interest expense / (income)</t>
  </si>
  <si>
    <t>Net before taxes</t>
  </si>
  <si>
    <t>Long term debt - due in one year</t>
  </si>
  <si>
    <t>Rework your answer to Q7 but starting with EBITDA instead of net income</t>
  </si>
  <si>
    <t>Drill questions</t>
  </si>
  <si>
    <t>International airline</t>
  </si>
  <si>
    <t xml:space="preserve">International airline </t>
  </si>
  <si>
    <t>Retailer, supermarket, etc</t>
  </si>
  <si>
    <t>Use the following extracts from Tech Inc's Annual Report to calculate normalized EBIT and EBITDA</t>
  </si>
  <si>
    <t>* Other product charges include $307 million for estimated warranty costs of servicing or replacing certain systems that include a</t>
  </si>
  <si>
    <t>vendor part that failed to perform to Tech Inc’s specifications, as well as additional charges for product rationalizations and workforce realignment.</t>
  </si>
  <si>
    <t xml:space="preserve">Use the following extract from Super Supplies' Annual Report to calculate the company's effective and marginal tax rates for the most recent year. </t>
  </si>
  <si>
    <t xml:space="preserve">You will also need Super Supplies' income statement provided in question 9. </t>
  </si>
  <si>
    <t>Using the following extracts from the Electronics 4Ever's annual report to calculate normalized net income</t>
  </si>
  <si>
    <t>Use the following extracts from Gadget's annual report to calculate Year 1 normalized net income</t>
  </si>
  <si>
    <t>The impairment charges in fiscal Year 2 related to technology and store assets that were taken out of service due to changes in our business.</t>
  </si>
  <si>
    <t xml:space="preserve">The impairment charges in fiscal Year 1 related to technology assets that were taken out of service due to changes in our business and charges associated with the disposal of corporate facilities that had been vacated. </t>
  </si>
  <si>
    <t>Motors International had the following property, plant and equipment figures in their financial statements:</t>
  </si>
  <si>
    <t>Using the following assumptions and BASE analysis, forecast the impact on Motors International's PP&amp;E accounts:</t>
  </si>
  <si>
    <t xml:space="preserve">The José Brothers purchased a large car manufacturing plant. </t>
  </si>
  <si>
    <t xml:space="preserve">They estimated the factory had five more years of operating life left. </t>
  </si>
  <si>
    <t>Using the balance sheet from Piano International below, calculate net debt at 31 December Year 2.</t>
  </si>
  <si>
    <t>Using the balance sheet from Retail Inc below, calculate net debt at 31 January Year 2, ignoring noncontrolling interest.</t>
  </si>
  <si>
    <t>Calculate the net debt for Clothing plc at 26 January Year 2, given the following</t>
  </si>
  <si>
    <t>Current and non-current liabilities</t>
  </si>
  <si>
    <t>Trade and other payables compromise 12.8 of other creditors and accurals. Other current financial liailities comprise</t>
  </si>
  <si>
    <t>amounts payable under contingent purchase contracts for the Company's own shares. The carrying amount of these liabilities</t>
  </si>
  <si>
    <t>approximate to their fair value.</t>
  </si>
  <si>
    <t>Other non-current financial liabilities comprise interest rate derivative instruments carried at fair value. Other non-current</t>
  </si>
  <si>
    <t>liabilities relate to share based payment liabilities.</t>
  </si>
  <si>
    <t xml:space="preserve">Use the following extract from Super Supplies' Annual Report to calculate Normalized EBIT.  </t>
  </si>
  <si>
    <t>Net debt</t>
  </si>
  <si>
    <t>Your boss then says that he meant to ask you to calculate net debt. Here are the assets from the balance sheet. Calculate net debt at each year end.</t>
  </si>
  <si>
    <t>Preferred stock notional</t>
  </si>
  <si>
    <t>Preferred stock dividend rate</t>
  </si>
  <si>
    <t>Clean EBIT</t>
  </si>
  <si>
    <t>Clean EBITDA</t>
  </si>
  <si>
    <t>Net Sales ex Service Charges, Interest and Other Income</t>
  </si>
  <si>
    <t>Total costs and expenses (as reported)</t>
  </si>
  <si>
    <t xml:space="preserve"> Remove back Asset impairment and store closure charges</t>
  </si>
  <si>
    <t>Total costs and expenses ignoring non-recurring items</t>
  </si>
  <si>
    <t xml:space="preserve"> Remove interest and debt expense</t>
  </si>
  <si>
    <t>EBIT</t>
  </si>
  <si>
    <t>EBITDA</t>
  </si>
  <si>
    <t>Adjusted SG&amp;A</t>
  </si>
  <si>
    <t>Clean Operating profit</t>
  </si>
  <si>
    <t>EBT</t>
  </si>
  <si>
    <t>Clean Net income</t>
  </si>
  <si>
    <t>LIFO</t>
  </si>
  <si>
    <t>FIFO</t>
  </si>
  <si>
    <t>Beginning Balance</t>
  </si>
  <si>
    <t>Purchases</t>
  </si>
  <si>
    <t>Gross Profit</t>
  </si>
  <si>
    <t>Ending Inventory</t>
  </si>
  <si>
    <t>Retained Earnings</t>
  </si>
  <si>
    <t>Add: Net income</t>
  </si>
  <si>
    <t>Subtract: Preferred dividends</t>
  </si>
  <si>
    <t>Subtract: Common Dividends</t>
  </si>
  <si>
    <t>Cash flow from operations</t>
  </si>
  <si>
    <t>X</t>
  </si>
  <si>
    <t>Cash flow from investing</t>
  </si>
  <si>
    <t>Capex</t>
  </si>
  <si>
    <t>ST debt</t>
  </si>
  <si>
    <t>Cash flow from financing</t>
  </si>
  <si>
    <t>Common stock and APIC</t>
  </si>
  <si>
    <t>Beginning Cash</t>
  </si>
  <si>
    <t>Ending Cash</t>
  </si>
  <si>
    <t>Cash Check</t>
  </si>
  <si>
    <t>Change in OWC</t>
  </si>
  <si>
    <t>Beginning PP&amp;E</t>
  </si>
  <si>
    <t>Ending PP&amp;E</t>
  </si>
  <si>
    <t>Beginning Intangibles</t>
  </si>
  <si>
    <t>Ending Intangibles</t>
  </si>
  <si>
    <t>Investment in intangibles</t>
  </si>
  <si>
    <t>Beginning Retained Earnings</t>
  </si>
  <si>
    <t>Ending Retained Earnings</t>
  </si>
  <si>
    <t>LT debt</t>
  </si>
  <si>
    <t>Change in LT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</si>
</sst>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0.0_);\(#,##0.0\);0.0_);@_)"/>
    <numFmt numFmtId="167" formatCode="#,##0.0_);\(#,##0.0\)"/>
    <numFmt numFmtId="168" formatCode="[$-409]d\-mmm\-yy;@"/>
    <numFmt numFmtId="169" formatCode="0.0%_);\(0.0%\)"/>
    <numFmt numFmtId="170" formatCode="#,##0.00_)\x;\(#,##0.00\)\x"/>
    <numFmt numFmtId="171" formatCode="&quot;Yes&quot;;;&quot;No&quot;"/>
    <numFmt numFmtId="172" formatCode="#,##0_);\(#,##0\);0_);@_)"/>
    <numFmt numFmtId="173" formatCode=";;;"/>
    <numFmt numFmtId="174" formatCode="#,##0.00_);\(#,##0.00\);0.00_);@_)"/>
  </numFmts>
  <fonts count="44" x14ac:knownFonts="1">
    <font>
      <sz val="10"/>
      <name val="Arial"/>
      <family val="2"/>
    </font>
    <font>
      <sz val="10"/>
      <name val="Arial"/>
      <family val="2"/>
    </font>
    <font>
      <sz val="10"/>
      <color indexed="12"/>
      <name val="Arial"/>
      <family val="2"/>
    </font>
    <font>
      <u/>
      <sz val="10"/>
      <color theme="1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24"/>
      <color rgb="FF006100"/>
      <name val="Arial"/>
      <family val="2"/>
    </font>
    <font>
      <sz val="24"/>
      <color rgb="FF9C0006"/>
      <name val="Arial"/>
      <family val="2"/>
    </font>
    <font>
      <sz val="24"/>
      <color rgb="FF9C6500"/>
      <name val="Arial"/>
      <family val="2"/>
    </font>
    <font>
      <b/>
      <sz val="24"/>
      <color rgb="FF3F3F3F"/>
      <name val="Arial"/>
      <family val="2"/>
    </font>
    <font>
      <b/>
      <sz val="24"/>
      <color rgb="FFFA7D00"/>
      <name val="Arial"/>
      <family val="2"/>
    </font>
    <font>
      <sz val="24"/>
      <color rgb="FFFA7D00"/>
      <name val="Arial"/>
      <family val="2"/>
    </font>
    <font>
      <b/>
      <sz val="24"/>
      <color theme="0"/>
      <name val="Arial"/>
      <family val="2"/>
    </font>
    <font>
      <sz val="24"/>
      <color rgb="FFFF0000"/>
      <name val="Arial"/>
      <family val="2"/>
    </font>
    <font>
      <i/>
      <sz val="24"/>
      <color rgb="FF7F7F7F"/>
      <name val="Arial"/>
      <family val="2"/>
    </font>
    <font>
      <b/>
      <sz val="24"/>
      <color theme="1"/>
      <name val="Arial"/>
      <family val="2"/>
    </font>
    <font>
      <sz val="24"/>
      <color theme="0"/>
      <name val="Arial"/>
      <family val="2"/>
    </font>
    <font>
      <sz val="24"/>
      <color theme="1"/>
      <name val="Arial"/>
      <family val="2"/>
    </font>
    <font>
      <u/>
      <sz val="10"/>
      <color theme="11"/>
      <name val="Arial"/>
      <family val="2"/>
    </font>
    <font>
      <b/>
      <sz val="14"/>
      <color theme="5" tint="-0.249977111117893"/>
      <name val="Calibri"/>
      <family val="2"/>
    </font>
    <font>
      <b/>
      <sz val="12"/>
      <color theme="5" tint="-0.249977111117893"/>
      <name val="Calibri"/>
      <family val="2"/>
    </font>
    <font>
      <sz val="11"/>
      <name val="Calibri"/>
      <family val="2"/>
      <scheme val="minor"/>
    </font>
    <font>
      <b/>
      <sz val="14"/>
      <color theme="0"/>
      <name val="Calibri"/>
      <family val="2"/>
    </font>
    <font>
      <b/>
      <sz val="11"/>
      <color theme="2"/>
      <name val="Calibri"/>
      <family val="2"/>
      <scheme val="minor"/>
    </font>
    <font>
      <sz val="10"/>
      <color rgb="FF0000FF"/>
      <name val="Arial"/>
      <family val="2"/>
    </font>
    <font>
      <b/>
      <sz val="14"/>
      <color rgb="FF0000FF"/>
      <name val="Calibri"/>
      <family val="2"/>
    </font>
    <font>
      <b/>
      <sz val="23"/>
      <color rgb="FF0000FF"/>
      <name val="Calibri"/>
      <family val="2"/>
    </font>
    <font>
      <b/>
      <sz val="11"/>
      <color rgb="FF0000FF"/>
      <name val="Calibri"/>
      <family val="2"/>
    </font>
    <font>
      <sz val="10"/>
      <name val="Arial"/>
      <family val="2"/>
    </font>
    <font>
      <sz val="10"/>
      <color rgb="FF333399"/>
      <name val="Arial"/>
      <family val="2"/>
    </font>
    <font>
      <b/>
      <sz val="10"/>
      <name val="Arial"/>
      <family val="2"/>
    </font>
    <font>
      <b/>
      <sz val="10"/>
      <color rgb="FF333399"/>
      <name val="Arial"/>
      <family val="2"/>
    </font>
    <font>
      <i/>
      <sz val="10"/>
      <color theme="0" tint="-0.249977111117893"/>
      <name val="Arial"/>
      <family val="2"/>
    </font>
    <font>
      <sz val="10"/>
      <color theme="0" tint="-0.249977111117893"/>
      <name val="Arial"/>
      <family val="2"/>
    </font>
    <font>
      <b/>
      <i/>
      <sz val="10"/>
      <color rgb="FF333399"/>
      <name val="Arial"/>
      <family val="2"/>
    </font>
    <font>
      <b/>
      <sz val="10"/>
      <color rgb="FF000000"/>
      <name val="Arial"/>
      <family val="2"/>
    </font>
    <font>
      <b/>
      <sz val="10"/>
      <color rgb="FF0000FF"/>
      <name val="Arial"/>
      <family val="2"/>
    </font>
    <font>
      <b/>
      <sz val="11"/>
      <color rgb="FF000000"/>
      <name val="Calibri"/>
      <family val="2"/>
    </font>
    <font>
      <i/>
      <u/>
      <sz val="10"/>
      <name val="Arial"/>
      <family val="2"/>
    </font>
    <font>
      <u/>
      <sz val="10"/>
      <name val="Arial"/>
      <family val="2"/>
    </font>
    <font>
      <b/>
      <i/>
      <sz val="10"/>
      <name val="Arial"/>
      <family val="2"/>
    </font>
    <font>
      <b/>
      <sz val="14"/>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E1E1E1"/>
        <bgColor indexed="64"/>
      </patternFill>
    </fill>
    <fill>
      <patternFill patternType="solid">
        <fgColor rgb="FFFFFFCC"/>
        <bgColor indexed="64"/>
      </patternFill>
    </fill>
    <fill>
      <patternFill patternType="solid">
        <fgColor rgb="FFFFFF66"/>
        <bgColor indexed="64"/>
      </patternFill>
    </fill>
    <fill>
      <patternFill patternType="solid">
        <fgColor theme="7" tint="0.79998168889431442"/>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64">
    <xf numFmtId="167" fontId="0" fillId="0" borderId="0"/>
    <xf numFmtId="15" fontId="1" fillId="0" borderId="0" applyFont="0" applyFill="0" applyBorder="0" applyAlignment="0" applyProtection="0"/>
    <xf numFmtId="0" fontId="3" fillId="0" borderId="0" applyNumberFormat="0" applyFill="0" applyBorder="0" applyAlignment="0" applyProtection="0">
      <alignment vertical="top"/>
      <protection locked="0"/>
    </xf>
    <xf numFmtId="167" fontId="26" fillId="33" borderId="1" applyNumberFormat="0" applyAlignment="0" applyProtection="0"/>
    <xf numFmtId="169" fontId="1" fillId="0" borderId="0" applyFont="0" applyFill="0" applyBorder="0" applyAlignment="0" applyProtection="0"/>
    <xf numFmtId="167" fontId="26" fillId="0" borderId="0" applyFill="0" applyBorder="0" applyAlignment="0" applyProtection="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5" applyNumberFormat="0" applyAlignment="0" applyProtection="0"/>
    <xf numFmtId="0" fontId="12" fillId="5" borderId="6" applyNumberFormat="0" applyAlignment="0" applyProtection="0"/>
    <xf numFmtId="0" fontId="13" fillId="0" borderId="7" applyNumberFormat="0" applyFill="0" applyAlignment="0" applyProtection="0"/>
    <xf numFmtId="0" fontId="14" fillId="6" borderId="8" applyNumberFormat="0" applyAlignment="0" applyProtection="0"/>
    <xf numFmtId="0" fontId="15" fillId="0" borderId="0" applyNumberFormat="0" applyFill="0" applyBorder="0" applyAlignment="0" applyProtection="0"/>
    <xf numFmtId="0" fontId="1" fillId="7" borderId="9" applyNumberFormat="0" applyFont="0" applyAlignment="0" applyProtection="0"/>
    <xf numFmtId="0" fontId="16" fillId="0" borderId="0" applyNumberFormat="0" applyFill="0" applyBorder="0" applyAlignment="0" applyProtection="0"/>
    <xf numFmtId="0" fontId="17" fillId="0" borderId="10" applyNumberFormat="0" applyFill="0" applyAlignment="0" applyProtection="0"/>
    <xf numFmtId="0" fontId="18"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8" fillId="31" borderId="0" applyNumberFormat="0" applyBorder="0" applyAlignment="0" applyProtection="0"/>
    <xf numFmtId="166" fontId="20" fillId="0" borderId="0" applyNumberForma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70" fontId="1" fillId="0" borderId="0" applyFont="0" applyFill="0" applyBorder="0" applyAlignment="0" applyProtection="0"/>
    <xf numFmtId="167" fontId="27" fillId="0" borderId="11" applyNumberFormat="0" applyFill="0" applyAlignment="0" applyProtection="0"/>
    <xf numFmtId="167" fontId="24" fillId="32" borderId="0" applyNumberFormat="0" applyBorder="0" applyProtection="0">
      <alignment horizontal="left" vertical="center"/>
    </xf>
    <xf numFmtId="167" fontId="25" fillId="0" borderId="0" applyNumberFormat="0" applyFill="0" applyBorder="0" applyAlignment="0" applyProtection="0"/>
    <xf numFmtId="171" fontId="2" fillId="0" borderId="0" applyFont="0" applyFill="0" applyBorder="0" applyAlignment="0" applyProtection="0"/>
    <xf numFmtId="169" fontId="26" fillId="33" borderId="1" applyAlignment="0" applyProtection="0"/>
    <xf numFmtId="166" fontId="30" fillId="0" borderId="0"/>
    <xf numFmtId="166" fontId="26" fillId="34" borderId="1" applyNumberFormat="0" applyAlignment="0" applyProtection="0"/>
    <xf numFmtId="169" fontId="26" fillId="35" borderId="1" applyNumberFormat="0" applyFill="0" applyBorder="0" applyAlignment="0" applyProtection="0"/>
    <xf numFmtId="166" fontId="1" fillId="0" borderId="0"/>
    <xf numFmtId="173" fontId="1" fillId="0" borderId="0"/>
    <xf numFmtId="166" fontId="1" fillId="0" borderId="0"/>
    <xf numFmtId="167" fontId="27" fillId="0" borderId="11" applyNumberFormat="0" applyAlignment="0" applyProtection="0"/>
  </cellStyleXfs>
  <cellXfs count="141">
    <xf numFmtId="167" fontId="0" fillId="0" borderId="0" xfId="0"/>
    <xf numFmtId="167" fontId="21" fillId="0" borderId="0" xfId="0" applyFont="1"/>
    <xf numFmtId="37" fontId="22" fillId="0" borderId="0" xfId="0" applyNumberFormat="1" applyFont="1" applyAlignment="1">
      <alignment horizontal="center"/>
    </xf>
    <xf numFmtId="167" fontId="23" fillId="0" borderId="0" xfId="0" applyFont="1"/>
    <xf numFmtId="167" fontId="24" fillId="32" borderId="0" xfId="53">
      <alignment horizontal="left" vertical="center"/>
    </xf>
    <xf numFmtId="37" fontId="27" fillId="0" borderId="11" xfId="52" applyNumberFormat="1"/>
    <xf numFmtId="167" fontId="27" fillId="0" borderId="11" xfId="52"/>
    <xf numFmtId="15" fontId="27" fillId="0" borderId="11" xfId="52" applyNumberFormat="1" applyAlignment="1">
      <alignment horizontal="center"/>
    </xf>
    <xf numFmtId="167" fontId="26" fillId="33" borderId="1" xfId="3" applyAlignment="1">
      <alignment horizontal="center"/>
    </xf>
    <xf numFmtId="167" fontId="28" fillId="0" borderId="0" xfId="0" applyFont="1"/>
    <xf numFmtId="166" fontId="27" fillId="0" borderId="0" xfId="52" applyNumberFormat="1" applyFill="1" applyBorder="1"/>
    <xf numFmtId="166" fontId="29" fillId="0" borderId="0" xfId="52" applyNumberFormat="1" applyFont="1" applyFill="1" applyBorder="1" applyAlignment="1">
      <alignment horizontal="center"/>
    </xf>
    <xf numFmtId="166" fontId="27" fillId="0" borderId="11" xfId="52" applyNumberFormat="1" applyFill="1"/>
    <xf numFmtId="168" fontId="29" fillId="0" borderId="11" xfId="52" applyNumberFormat="1" applyFont="1" applyFill="1" applyAlignment="1">
      <alignment horizontal="center" vertical="center"/>
    </xf>
    <xf numFmtId="166" fontId="30" fillId="0" borderId="0" xfId="57"/>
    <xf numFmtId="166" fontId="31" fillId="0" borderId="0" xfId="57" applyFont="1"/>
    <xf numFmtId="166" fontId="32" fillId="0" borderId="0" xfId="57" applyFont="1"/>
    <xf numFmtId="166" fontId="33" fillId="0" borderId="0" xfId="57" applyFont="1"/>
    <xf numFmtId="166" fontId="33" fillId="0" borderId="0" xfId="57" applyFont="1" applyAlignment="1">
      <alignment horizontal="right"/>
    </xf>
    <xf numFmtId="166" fontId="34" fillId="0" borderId="0" xfId="57" applyFont="1"/>
    <xf numFmtId="166" fontId="34" fillId="0" borderId="0" xfId="57" applyFont="1" applyAlignment="1">
      <alignment horizontal="right"/>
    </xf>
    <xf numFmtId="166" fontId="26" fillId="0" borderId="0" xfId="59" applyNumberFormat="1" applyFill="1" applyBorder="1" applyAlignment="1">
      <alignment horizontal="right"/>
    </xf>
    <xf numFmtId="166" fontId="32" fillId="0" borderId="0" xfId="57" applyFont="1" applyAlignment="1">
      <alignment horizontal="right"/>
    </xf>
    <xf numFmtId="166" fontId="1" fillId="0" borderId="0" xfId="57" applyFont="1"/>
    <xf numFmtId="166" fontId="26" fillId="33" borderId="1" xfId="3" applyNumberFormat="1"/>
    <xf numFmtId="169" fontId="26" fillId="33" borderId="1" xfId="3" applyNumberFormat="1"/>
    <xf numFmtId="167" fontId="26" fillId="0" borderId="0" xfId="5"/>
    <xf numFmtId="171" fontId="32" fillId="0" borderId="0" xfId="55" applyFont="1"/>
    <xf numFmtId="167" fontId="32" fillId="0" borderId="0" xfId="0" applyFont="1"/>
    <xf numFmtId="172" fontId="32" fillId="0" borderId="0" xfId="57" applyNumberFormat="1" applyFont="1" applyAlignment="1">
      <alignment horizontal="right"/>
    </xf>
    <xf numFmtId="172" fontId="32" fillId="0" borderId="0" xfId="57" applyNumberFormat="1" applyFont="1"/>
    <xf numFmtId="172" fontId="1" fillId="0" borderId="0" xfId="57" applyNumberFormat="1" applyFont="1"/>
    <xf numFmtId="172" fontId="30" fillId="0" borderId="0" xfId="57" applyNumberFormat="1"/>
    <xf numFmtId="172" fontId="32" fillId="0" borderId="0" xfId="57" quotePrefix="1" applyNumberFormat="1" applyFont="1" applyAlignment="1">
      <alignment horizontal="right"/>
    </xf>
    <xf numFmtId="172" fontId="26" fillId="33" borderId="1" xfId="3" applyNumberFormat="1"/>
    <xf numFmtId="172" fontId="31" fillId="0" borderId="0" xfId="57" applyNumberFormat="1" applyFont="1"/>
    <xf numFmtId="166" fontId="1" fillId="0" borderId="0" xfId="60"/>
    <xf numFmtId="166" fontId="31" fillId="0" borderId="0" xfId="60" applyFont="1"/>
    <xf numFmtId="166" fontId="32" fillId="0" borderId="0" xfId="60" applyFont="1"/>
    <xf numFmtId="166" fontId="26" fillId="0" borderId="0" xfId="59" applyNumberFormat="1" applyFill="1" applyBorder="1"/>
    <xf numFmtId="166" fontId="34" fillId="0" borderId="0" xfId="60" applyFont="1"/>
    <xf numFmtId="166" fontId="35" fillId="0" borderId="0" xfId="60" applyFont="1"/>
    <xf numFmtId="166" fontId="34" fillId="0" borderId="0" xfId="60" applyFont="1" applyAlignment="1">
      <alignment horizontal="right"/>
    </xf>
    <xf numFmtId="172" fontId="1" fillId="0" borderId="0" xfId="60" applyNumberFormat="1"/>
    <xf numFmtId="166" fontId="32" fillId="0" borderId="0" xfId="60" applyFont="1" applyAlignment="1">
      <alignment horizontal="right"/>
    </xf>
    <xf numFmtId="172" fontId="32" fillId="0" borderId="0" xfId="60" applyNumberFormat="1" applyFont="1" applyAlignment="1">
      <alignment horizontal="right"/>
    </xf>
    <xf numFmtId="172" fontId="32" fillId="0" borderId="0" xfId="60" applyNumberFormat="1" applyFont="1"/>
    <xf numFmtId="166" fontId="1" fillId="0" borderId="0" xfId="62"/>
    <xf numFmtId="166" fontId="0" fillId="0" borderId="0" xfId="62" applyFont="1"/>
    <xf numFmtId="166" fontId="0" fillId="0" borderId="1" xfId="62" applyFont="1" applyBorder="1"/>
    <xf numFmtId="166" fontId="1" fillId="0" borderId="1" xfId="62" applyBorder="1"/>
    <xf numFmtId="166" fontId="25" fillId="0" borderId="0" xfId="54" applyNumberFormat="1"/>
    <xf numFmtId="166" fontId="0" fillId="0" borderId="1" xfId="62" applyFont="1" applyBorder="1" applyAlignment="1">
      <alignment vertical="top"/>
    </xf>
    <xf numFmtId="166" fontId="0" fillId="0" borderId="1" xfId="62" applyFont="1" applyBorder="1" applyAlignment="1">
      <alignment wrapText="1"/>
    </xf>
    <xf numFmtId="166" fontId="1" fillId="0" borderId="12" xfId="62" applyBorder="1"/>
    <xf numFmtId="166" fontId="1" fillId="0" borderId="13" xfId="62" applyBorder="1"/>
    <xf numFmtId="166" fontId="1" fillId="0" borderId="14" xfId="62" applyBorder="1"/>
    <xf numFmtId="166" fontId="32" fillId="0" borderId="0" xfId="62" applyFont="1"/>
    <xf numFmtId="169" fontId="26" fillId="33" borderId="1" xfId="4" applyFont="1" applyFill="1" applyBorder="1"/>
    <xf numFmtId="166" fontId="0" fillId="36" borderId="0" xfId="62" applyFont="1" applyFill="1"/>
    <xf numFmtId="166" fontId="1" fillId="36" borderId="0" xfId="62" applyFill="1"/>
    <xf numFmtId="166" fontId="1" fillId="36" borderId="15" xfId="62" applyFill="1" applyBorder="1"/>
    <xf numFmtId="9" fontId="1" fillId="0" borderId="0" xfId="62" applyNumberFormat="1"/>
    <xf numFmtId="166" fontId="1" fillId="0" borderId="15" xfId="62" applyBorder="1"/>
    <xf numFmtId="166" fontId="1" fillId="36" borderId="16" xfId="62" applyFill="1" applyBorder="1"/>
    <xf numFmtId="166" fontId="32" fillId="36" borderId="0" xfId="62" applyFont="1" applyFill="1"/>
    <xf numFmtId="166" fontId="1" fillId="0" borderId="16" xfId="62" applyBorder="1"/>
    <xf numFmtId="166" fontId="36" fillId="0" borderId="0" xfId="62" applyFont="1"/>
    <xf numFmtId="166" fontId="25" fillId="0" borderId="0" xfId="54" applyNumberFormat="1" applyAlignment="1">
      <alignment horizontal="center"/>
    </xf>
    <xf numFmtId="166" fontId="32" fillId="36" borderId="15" xfId="62" applyFont="1" applyFill="1" applyBorder="1"/>
    <xf numFmtId="166" fontId="1" fillId="0" borderId="0" xfId="62" applyAlignment="1">
      <alignment horizontal="right"/>
    </xf>
    <xf numFmtId="166" fontId="0" fillId="0" borderId="0" xfId="62" applyFont="1" applyAlignment="1">
      <alignment wrapText="1" readingOrder="1"/>
    </xf>
    <xf numFmtId="166" fontId="1" fillId="0" borderId="0" xfId="62" applyAlignment="1">
      <alignment wrapText="1" readingOrder="1"/>
    </xf>
    <xf numFmtId="169" fontId="1" fillId="0" borderId="0" xfId="4"/>
    <xf numFmtId="166" fontId="27" fillId="0" borderId="0" xfId="63" applyNumberFormat="1" applyBorder="1"/>
    <xf numFmtId="166" fontId="29" fillId="0" borderId="0" xfId="63" applyNumberFormat="1" applyFont="1" applyBorder="1" applyAlignment="1">
      <alignment horizontal="center"/>
    </xf>
    <xf numFmtId="37" fontId="27" fillId="0" borderId="11" xfId="63" applyNumberFormat="1"/>
    <xf numFmtId="166" fontId="27" fillId="0" borderId="11" xfId="63" applyNumberFormat="1"/>
    <xf numFmtId="168" fontId="29" fillId="0" borderId="11" xfId="63" applyNumberFormat="1" applyFont="1" applyAlignment="1">
      <alignment horizontal="center" vertical="center"/>
    </xf>
    <xf numFmtId="166" fontId="25" fillId="0" borderId="0" xfId="54" applyNumberFormat="1" applyAlignment="1">
      <alignment horizontal="right"/>
    </xf>
    <xf numFmtId="167" fontId="0" fillId="0" borderId="0" xfId="0" quotePrefix="1"/>
    <xf numFmtId="167" fontId="25" fillId="0" borderId="0" xfId="54"/>
    <xf numFmtId="167" fontId="37" fillId="0" borderId="0" xfId="0" applyFont="1"/>
    <xf numFmtId="166" fontId="1" fillId="0" borderId="1" xfId="60" applyBorder="1"/>
    <xf numFmtId="169" fontId="0" fillId="0" borderId="1" xfId="4" applyFont="1" applyBorder="1"/>
    <xf numFmtId="169" fontId="26" fillId="33" borderId="12" xfId="3" applyNumberFormat="1" applyBorder="1"/>
    <xf numFmtId="166" fontId="32" fillId="0" borderId="1" xfId="60" applyFont="1" applyBorder="1"/>
    <xf numFmtId="166" fontId="33" fillId="0" borderId="0" xfId="62" applyFont="1"/>
    <xf numFmtId="166" fontId="33" fillId="0" borderId="0" xfId="62" applyFont="1" applyAlignment="1">
      <alignment horizontal="right"/>
    </xf>
    <xf numFmtId="166" fontId="25" fillId="0" borderId="0" xfId="54" applyNumberFormat="1" applyFill="1" applyBorder="1" applyAlignment="1">
      <alignment horizontal="right"/>
    </xf>
    <xf numFmtId="166" fontId="38" fillId="0" borderId="0" xfId="59" applyNumberFormat="1" applyFont="1" applyFill="1" applyBorder="1"/>
    <xf numFmtId="166" fontId="31" fillId="0" borderId="0" xfId="62" applyFont="1"/>
    <xf numFmtId="167" fontId="39" fillId="0" borderId="0" xfId="0" applyFont="1"/>
    <xf numFmtId="167" fontId="25" fillId="0" borderId="18" xfId="54" applyBorder="1" applyAlignment="1">
      <alignment horizontal="center"/>
    </xf>
    <xf numFmtId="167" fontId="25" fillId="0" borderId="19" xfId="54" applyBorder="1" applyAlignment="1">
      <alignment horizontal="center"/>
    </xf>
    <xf numFmtId="167" fontId="25" fillId="0" borderId="20" xfId="54" applyBorder="1" applyAlignment="1">
      <alignment horizontal="center"/>
    </xf>
    <xf numFmtId="167" fontId="26" fillId="0" borderId="21" xfId="59" applyNumberFormat="1" applyFill="1" applyBorder="1" applyAlignment="1">
      <alignment horizontal="right"/>
    </xf>
    <xf numFmtId="167" fontId="26" fillId="0" borderId="0" xfId="59" applyNumberFormat="1" applyFill="1" applyBorder="1" applyAlignment="1">
      <alignment horizontal="right"/>
    </xf>
    <xf numFmtId="167" fontId="26" fillId="0" borderId="22" xfId="59" applyNumberFormat="1" applyFill="1" applyBorder="1" applyAlignment="1">
      <alignment horizontal="right"/>
    </xf>
    <xf numFmtId="167" fontId="32" fillId="0" borderId="23" xfId="0" applyFont="1" applyBorder="1" applyAlignment="1">
      <alignment horizontal="center"/>
    </xf>
    <xf numFmtId="167" fontId="32" fillId="0" borderId="16" xfId="0" applyFont="1" applyBorder="1" applyAlignment="1">
      <alignment horizontal="right"/>
    </xf>
    <xf numFmtId="167" fontId="32" fillId="0" borderId="24" xfId="0" applyFont="1" applyBorder="1" applyAlignment="1">
      <alignment horizontal="right"/>
    </xf>
    <xf numFmtId="167" fontId="0" fillId="0" borderId="1" xfId="0" applyBorder="1" applyAlignment="1">
      <alignment horizontal="left"/>
    </xf>
    <xf numFmtId="167" fontId="0" fillId="0" borderId="1" xfId="0" applyBorder="1"/>
    <xf numFmtId="167" fontId="0" fillId="0" borderId="25" xfId="0" applyBorder="1"/>
    <xf numFmtId="167" fontId="0" fillId="0" borderId="15" xfId="0" applyBorder="1"/>
    <xf numFmtId="167" fontId="0" fillId="0" borderId="17" xfId="0" applyBorder="1"/>
    <xf numFmtId="166" fontId="1" fillId="0" borderId="25" xfId="62" applyBorder="1"/>
    <xf numFmtId="167" fontId="23" fillId="0" borderId="0" xfId="0" applyFont="1" applyAlignment="1">
      <alignment horizontal="center"/>
    </xf>
    <xf numFmtId="166" fontId="1" fillId="0" borderId="0" xfId="62" applyAlignment="1">
      <alignment horizontal="left" indent="1"/>
    </xf>
    <xf numFmtId="167" fontId="0" fillId="0" borderId="0" xfId="0" applyAlignment="1">
      <alignment horizontal="right"/>
    </xf>
    <xf numFmtId="166" fontId="40" fillId="36" borderId="0" xfId="62" applyFont="1" applyFill="1"/>
    <xf numFmtId="166" fontId="41" fillId="36" borderId="0" xfId="62" applyFont="1" applyFill="1"/>
    <xf numFmtId="166" fontId="40" fillId="0" borderId="0" xfId="62" applyFont="1"/>
    <xf numFmtId="166" fontId="41" fillId="0" borderId="0" xfId="62" applyFont="1"/>
    <xf numFmtId="166" fontId="0" fillId="0" borderId="16" xfId="62" applyFont="1" applyBorder="1"/>
    <xf numFmtId="166" fontId="32" fillId="36" borderId="16" xfId="62" applyFont="1" applyFill="1" applyBorder="1"/>
    <xf numFmtId="166" fontId="32" fillId="0" borderId="15" xfId="62" applyFont="1" applyBorder="1"/>
    <xf numFmtId="166" fontId="0" fillId="36" borderId="16" xfId="62" applyFont="1" applyFill="1" applyBorder="1"/>
    <xf numFmtId="166" fontId="32" fillId="0" borderId="0" xfId="62" applyFont="1" applyAlignment="1">
      <alignment horizontal="right"/>
    </xf>
    <xf numFmtId="166" fontId="42" fillId="0" borderId="0" xfId="62" applyFont="1"/>
    <xf numFmtId="166" fontId="43" fillId="0" borderId="0" xfId="63" applyNumberFormat="1" applyFont="1" applyBorder="1"/>
    <xf numFmtId="166" fontId="43" fillId="0" borderId="11" xfId="63" applyNumberFormat="1" applyFont="1"/>
    <xf numFmtId="174" fontId="1" fillId="0" borderId="0" xfId="62" applyNumberFormat="1" applyAlignment="1">
      <alignment horizontal="right"/>
    </xf>
    <xf numFmtId="167" fontId="31" fillId="0" borderId="0" xfId="0" applyFont="1"/>
    <xf numFmtId="0" fontId="0" fillId="0" borderId="0" xfId="62" applyNumberFormat="1" applyFont="1"/>
    <xf numFmtId="10" fontId="26" fillId="0" borderId="0" xfId="59" applyNumberFormat="1" applyFill="1" applyBorder="1"/>
    <xf numFmtId="166" fontId="0" fillId="0" borderId="1" xfId="57" applyFont="1" applyBorder="1"/>
    <xf numFmtId="167" fontId="32" fillId="37" borderId="26" xfId="0" applyFont="1" applyFill="1" applyBorder="1"/>
    <xf numFmtId="167" fontId="32" fillId="37" borderId="27" xfId="0" applyFont="1" applyFill="1" applyBorder="1"/>
    <xf numFmtId="167" fontId="32" fillId="37" borderId="28" xfId="0" applyFont="1" applyFill="1" applyBorder="1"/>
    <xf numFmtId="167" fontId="32" fillId="37" borderId="29" xfId="0" applyFont="1" applyFill="1" applyBorder="1"/>
    <xf numFmtId="167" fontId="0" fillId="37" borderId="26" xfId="0" applyFill="1" applyBorder="1"/>
    <xf numFmtId="167" fontId="0" fillId="37" borderId="27" xfId="0" applyFill="1" applyBorder="1"/>
    <xf numFmtId="167" fontId="0" fillId="37" borderId="28" xfId="0" applyFill="1" applyBorder="1"/>
    <xf numFmtId="167" fontId="0" fillId="37" borderId="29" xfId="0" applyFill="1" applyBorder="1"/>
    <xf numFmtId="167" fontId="32" fillId="0" borderId="0" xfId="0" applyFont="1" applyAlignment="1">
      <alignment horizontal="right"/>
    </xf>
    <xf numFmtId="37" fontId="0" fillId="0" borderId="0" xfId="0" applyNumberFormat="1"/>
    <xf numFmtId="167" fontId="0" fillId="0" borderId="0" xfId="0" applyAlignment="1">
      <alignment horizontal="left" indent="1"/>
    </xf>
    <xf numFmtId="167" fontId="0" fillId="0" borderId="0" xfId="0" applyAlignment="1">
      <alignment horizontal="left" indent="2"/>
    </xf>
    <xf numFmtId="166" fontId="1" fillId="0" borderId="0" xfId="62" applyFont="1"/>
  </cellXfs>
  <cellStyles count="64">
    <cellStyle name="20% - Accent1" xfId="23" builtinId="30" hidden="1"/>
    <cellStyle name="20% - Accent2" xfId="27" builtinId="34" hidden="1"/>
    <cellStyle name="20% - Accent3" xfId="31" builtinId="38" hidden="1"/>
    <cellStyle name="20% - Accent4" xfId="35" builtinId="42" hidden="1"/>
    <cellStyle name="20% - Accent5" xfId="39" builtinId="46" hidden="1"/>
    <cellStyle name="20% - Accent6" xfId="43" builtinId="50" hidden="1"/>
    <cellStyle name="40% - Accent1" xfId="24" builtinId="31" hidden="1"/>
    <cellStyle name="40% - Accent2" xfId="28" builtinId="35" hidden="1"/>
    <cellStyle name="40% - Accent3" xfId="32" builtinId="39" hidden="1"/>
    <cellStyle name="40% - Accent4" xfId="36" builtinId="43" hidden="1"/>
    <cellStyle name="40% - Accent5" xfId="40" builtinId="47" hidden="1"/>
    <cellStyle name="40% - Accent6" xfId="44" builtinId="51" hidden="1"/>
    <cellStyle name="60% - Accent1" xfId="25" builtinId="32" hidden="1"/>
    <cellStyle name="60% - Accent2" xfId="29" builtinId="36" hidden="1"/>
    <cellStyle name="60% - Accent3" xfId="33" builtinId="40" hidden="1"/>
    <cellStyle name="60% - Accent4" xfId="37" builtinId="44" hidden="1"/>
    <cellStyle name="60% - Accent5" xfId="41" builtinId="48" hidden="1"/>
    <cellStyle name="60% - Accent6" xfId="45" builtinId="52" hidden="1"/>
    <cellStyle name="Accent1" xfId="22" builtinId="29" hidden="1"/>
    <cellStyle name="Accent2" xfId="26" builtinId="33" hidden="1"/>
    <cellStyle name="Accent3" xfId="30" builtinId="37" hidden="1"/>
    <cellStyle name="Accent4" xfId="34" builtinId="41" hidden="1"/>
    <cellStyle name="Accent5" xfId="38" builtinId="45" hidden="1"/>
    <cellStyle name="Accent6" xfId="42" builtinId="49" hidden="1"/>
    <cellStyle name="Bad" xfId="12" builtinId="27" hidden="1"/>
    <cellStyle name="Blank" xfId="61" xr:uid="{00000000-0005-0000-0000-000019000000}"/>
    <cellStyle name="Blue" xfId="59" xr:uid="{00000000-0005-0000-0000-00001A000000}"/>
    <cellStyle name="Calculation" xfId="15" builtinId="22" hidden="1"/>
    <cellStyle name="Check Cell" xfId="17" builtinId="23" hidden="1"/>
    <cellStyle name="Comma" xfId="47" builtinId="3" hidden="1"/>
    <cellStyle name="Comma [0]" xfId="48" builtinId="6" hidden="1"/>
    <cellStyle name="Currency" xfId="49" builtinId="4" hidden="1"/>
    <cellStyle name="Currency [0]" xfId="50" builtinId="7" hidden="1"/>
    <cellStyle name="Date" xfId="1" xr:uid="{00000000-0005-0000-0000-000021000000}"/>
    <cellStyle name="Explanatory Text" xfId="20" builtinId="53" hidden="1"/>
    <cellStyle name="Followed Hyperlink" xfId="46" builtinId="9" hidden="1"/>
    <cellStyle name="Good" xfId="11" builtinId="26" hidden="1"/>
    <cellStyle name="Header" xfId="52" xr:uid="{00000000-0005-0000-0000-000025000000}"/>
    <cellStyle name="Header 2" xfId="63" xr:uid="{00000000-0005-0000-0000-000026000000}"/>
    <cellStyle name="Heading 1" xfId="7" builtinId="16" hidden="1"/>
    <cellStyle name="Heading 2" xfId="8" builtinId="17" hidden="1"/>
    <cellStyle name="Heading 3" xfId="9" builtinId="18" hidden="1"/>
    <cellStyle name="Heading 4" xfId="10" builtinId="19" hidden="1"/>
    <cellStyle name="Historics" xfId="5" xr:uid="{00000000-0005-0000-0000-00002B000000}"/>
    <cellStyle name="Hyperlink" xfId="2" builtinId="8" hidden="1"/>
    <cellStyle name="I" xfId="58" xr:uid="{00000000-0005-0000-0000-00002D000000}"/>
    <cellStyle name="Input" xfId="3" builtinId="20" customBuiltin="1"/>
    <cellStyle name="Input %" xfId="56" xr:uid="{00000000-0005-0000-0000-00002F000000}"/>
    <cellStyle name="Linked Cell" xfId="16" builtinId="24" hidden="1"/>
    <cellStyle name="Multiple" xfId="51" xr:uid="{00000000-0005-0000-0000-000031000000}"/>
    <cellStyle name="Neutral" xfId="13" builtinId="28" hidden="1"/>
    <cellStyle name="Normal" xfId="0" builtinId="0" customBuiltin="1"/>
    <cellStyle name="Normal 2" xfId="57" xr:uid="{00000000-0005-0000-0000-000034000000}"/>
    <cellStyle name="Normal 2 2" xfId="62" xr:uid="{00000000-0005-0000-0000-000035000000}"/>
    <cellStyle name="Normal 3" xfId="60" xr:uid="{00000000-0005-0000-0000-000036000000}"/>
    <cellStyle name="Note" xfId="19" builtinId="10" hidden="1"/>
    <cellStyle name="Output" xfId="14" builtinId="21" hidden="1"/>
    <cellStyle name="Percent" xfId="4" builtinId="5" customBuiltin="1"/>
    <cellStyle name="SubHeader" xfId="53" xr:uid="{00000000-0005-0000-0000-00003A000000}"/>
    <cellStyle name="SubHeader2" xfId="54" xr:uid="{00000000-0005-0000-0000-00003B000000}"/>
    <cellStyle name="Title" xfId="6" builtinId="15" hidden="1"/>
    <cellStyle name="Total" xfId="21" builtinId="25" hidden="1"/>
    <cellStyle name="Warning Text" xfId="18" builtinId="11" hidden="1"/>
    <cellStyle name="YesNo" xfId="55" xr:uid="{00000000-0005-0000-0000-00003F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6E00"/>
      <rgbColor rgb="00000080"/>
      <rgbColor rgb="00808000"/>
      <rgbColor rgb="00800080"/>
      <rgbColor rgb="00008080"/>
      <rgbColor rgb="00C0C0C0"/>
      <rgbColor rgb="00808080"/>
      <rgbColor rgb="00EAFFDF"/>
      <rgbColor rgb="00993366"/>
      <rgbColor rgb="00FFFFCB"/>
      <rgbColor rgb="00E3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3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1E1E1"/>
      <color rgb="FF0500FF"/>
      <color rgb="FF0000FF"/>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19</xdr:row>
      <xdr:rowOff>14145</xdr:rowOff>
    </xdr:from>
    <xdr:to>
      <xdr:col>9</xdr:col>
      <xdr:colOff>726163</xdr:colOff>
      <xdr:row>23</xdr:row>
      <xdr:rowOff>0</xdr:rowOff>
    </xdr:to>
    <xdr:sp macro="" textlink="">
      <xdr:nvSpPr>
        <xdr:cNvPr id="2" name="Rectangle 1">
          <a:extLst>
            <a:ext uri="{FF2B5EF4-FFF2-40B4-BE49-F238E27FC236}">
              <a16:creationId xmlns:a16="http://schemas.microsoft.com/office/drawing/2014/main" id="{C79B3ECB-B9BE-44B5-9E8B-90A774F02121}"/>
            </a:ext>
          </a:extLst>
        </xdr:cNvPr>
        <xdr:cNvSpPr>
          <a:spLocks noChangeArrowheads="1"/>
        </xdr:cNvSpPr>
      </xdr:nvSpPr>
      <xdr:spPr bwMode="auto">
        <a:xfrm>
          <a:off x="2366963" y="5519595"/>
          <a:ext cx="7474625" cy="900160"/>
        </a:xfrm>
        <a:prstGeom prst="rect">
          <a:avLst/>
        </a:prstGeom>
        <a:solidFill>
          <a:srgbClr val="FFFFFF"/>
        </a:solidFill>
        <a:ln w="9525">
          <a:noFill/>
          <a:miter lim="800000"/>
          <a:headEnd/>
          <a:tailEnd/>
        </a:ln>
      </xdr:spPr>
      <xdr:txBody>
        <a:bodyPr vertOverflow="clip" wrap="square" lIns="27432" tIns="22860" rIns="27432" bIns="0" anchor="t" upright="1"/>
        <a:lstStyle/>
        <a:p>
          <a:pPr algn="l" rtl="0">
            <a:defRPr sz="1000"/>
          </a:pPr>
          <a:r>
            <a:rPr lang="en-GB" sz="1100" b="0" i="0" u="none" strike="noStrike" baseline="0">
              <a:solidFill>
                <a:schemeClr val="accent2">
                  <a:lumMod val="75000"/>
                </a:schemeClr>
              </a:solidFill>
              <a:latin typeface="+mn-lt"/>
              <a:cs typeface="Arial"/>
            </a:rPr>
            <a:t>For Training Purposes Only  </a:t>
          </a:r>
        </a:p>
        <a:p>
          <a:pPr algn="l" rtl="0">
            <a:defRPr sz="1000"/>
          </a:pPr>
          <a:r>
            <a:rPr lang="en-GB" sz="1100" b="0" i="0" u="none" strike="noStrike" baseline="0">
              <a:solidFill>
                <a:schemeClr val="accent2">
                  <a:lumMod val="75000"/>
                </a:schemeClr>
              </a:solidFill>
              <a:latin typeface="+mn-lt"/>
              <a:cs typeface="Arial"/>
            </a:rPr>
            <a:t>© AMT Training Ltd</a:t>
          </a:r>
        </a:p>
        <a:p>
          <a:pPr algn="l" rtl="0">
            <a:defRPr sz="1000"/>
          </a:pPr>
          <a:r>
            <a:rPr lang="en-GB" sz="1100" b="0" i="0" u="none" strike="noStrike" baseline="0">
              <a:solidFill>
                <a:schemeClr val="accent2">
                  <a:lumMod val="75000"/>
                </a:schemeClr>
              </a:solidFill>
              <a:latin typeface="+mn-lt"/>
              <a:cs typeface="Arial"/>
            </a:rPr>
            <a:t>All rights reserved</a:t>
          </a:r>
        </a:p>
        <a:p>
          <a:pPr algn="l" rtl="0">
            <a:defRPr sz="1000"/>
          </a:pPr>
          <a:r>
            <a:rPr lang="en-GB" sz="1100" b="0" i="0" u="none" strike="noStrike" baseline="0">
              <a:solidFill>
                <a:schemeClr val="accent2">
                  <a:lumMod val="75000"/>
                </a:schemeClr>
              </a:solidFill>
              <a:latin typeface="+mn-lt"/>
              <a:cs typeface="Arial"/>
            </a:rPr>
            <a:t>www.amttraining.com</a:t>
          </a:r>
        </a:p>
      </xdr:txBody>
    </xdr:sp>
    <xdr:clientData/>
  </xdr:twoCellAnchor>
  <xdr:twoCellAnchor>
    <xdr:from>
      <xdr:col>2</xdr:col>
      <xdr:colOff>0</xdr:colOff>
      <xdr:row>13</xdr:row>
      <xdr:rowOff>14145</xdr:rowOff>
    </xdr:from>
    <xdr:to>
      <xdr:col>9</xdr:col>
      <xdr:colOff>726163</xdr:colOff>
      <xdr:row>17</xdr:row>
      <xdr:rowOff>0</xdr:rowOff>
    </xdr:to>
    <xdr:sp macro="" textlink="">
      <xdr:nvSpPr>
        <xdr:cNvPr id="3" name="Rectangle 3">
          <a:extLst>
            <a:ext uri="{FF2B5EF4-FFF2-40B4-BE49-F238E27FC236}">
              <a16:creationId xmlns:a16="http://schemas.microsoft.com/office/drawing/2014/main" id="{7C0CFCC6-5690-4E4C-B453-0997B3D77F6E}"/>
            </a:ext>
          </a:extLst>
        </xdr:cNvPr>
        <xdr:cNvSpPr>
          <a:spLocks noChangeArrowheads="1"/>
        </xdr:cNvSpPr>
      </xdr:nvSpPr>
      <xdr:spPr bwMode="auto">
        <a:xfrm>
          <a:off x="2366963" y="4386120"/>
          <a:ext cx="7474625" cy="709755"/>
        </a:xfrm>
        <a:prstGeom prst="rect">
          <a:avLst/>
        </a:prstGeom>
        <a:solidFill>
          <a:srgbClr val="FFFFFF"/>
        </a:solidFill>
        <a:ln w="9525">
          <a:noFill/>
          <a:miter lim="800000"/>
          <a:headEnd/>
          <a:tailEnd/>
        </a:ln>
      </xdr:spPr>
      <xdr:txBody>
        <a:bodyPr vertOverflow="clip" wrap="square" lIns="27432" tIns="22860" rIns="27432" bIns="0" anchor="t" upright="1"/>
        <a:lstStyle/>
        <a:p>
          <a:pPr algn="l" rtl="0">
            <a:defRPr sz="1000"/>
          </a:pPr>
          <a:r>
            <a:rPr lang="en-GB" sz="1100" b="0" i="0" u="none" strike="noStrike" baseline="0">
              <a:solidFill>
                <a:schemeClr val="accent2">
                  <a:lumMod val="75000"/>
                </a:schemeClr>
              </a:solidFill>
              <a:latin typeface="+mn-lt"/>
              <a:cs typeface="Arial"/>
            </a:rPr>
            <a:t>The use of this model is intended solely as a learning aid for participants in AMT's training programs or academic courses.  </a:t>
          </a:r>
          <a:br>
            <a:rPr lang="en-GB" sz="1100" b="0" i="0" u="none" strike="noStrike" baseline="0">
              <a:solidFill>
                <a:schemeClr val="accent2">
                  <a:lumMod val="75000"/>
                </a:schemeClr>
              </a:solidFill>
              <a:latin typeface="+mn-lt"/>
              <a:cs typeface="Arial"/>
            </a:rPr>
          </a:br>
          <a:r>
            <a:rPr lang="en-GB" sz="1100" b="0" i="0" u="none" strike="noStrike" baseline="0">
              <a:solidFill>
                <a:schemeClr val="accent2">
                  <a:lumMod val="75000"/>
                </a:schemeClr>
              </a:solidFill>
              <a:latin typeface="+mn-lt"/>
              <a:cs typeface="Arial"/>
            </a:rPr>
            <a:t>AMT assumes no responsibility or liability whatsoever, to the client or to any third party, for any other use or purpose.</a:t>
          </a:r>
        </a:p>
        <a:p>
          <a:pPr algn="l" rtl="0">
            <a:defRPr sz="1000"/>
          </a:pPr>
          <a:endParaRPr lang="en-GB" sz="1100" b="0" i="0" u="none" strike="noStrike" baseline="0">
            <a:solidFill>
              <a:schemeClr val="accent2">
                <a:lumMod val="75000"/>
              </a:schemeClr>
            </a:solidFill>
            <a:latin typeface="+mn-lt"/>
            <a:cs typeface="Arial"/>
          </a:endParaRPr>
        </a:p>
        <a:p>
          <a:pPr algn="l" rtl="0">
            <a:defRPr sz="1000"/>
          </a:pPr>
          <a:r>
            <a:rPr lang="en-GB" sz="1100" b="0" i="0" u="none" strike="noStrike" baseline="0">
              <a:solidFill>
                <a:schemeClr val="accent2">
                  <a:lumMod val="75000"/>
                </a:schemeClr>
              </a:solidFill>
              <a:latin typeface="+mn-lt"/>
              <a:cs typeface="Arial"/>
            </a:rPr>
            <a:t>WARNING!  You may not be able to perform some normal Excel operations in this file. It may be protected against certain actions. </a:t>
          </a:r>
        </a:p>
      </xdr:txBody>
    </xdr:sp>
    <xdr:clientData/>
  </xdr:twoCellAnchor>
  <xdr:twoCellAnchor editAs="oneCell">
    <xdr:from>
      <xdr:col>0</xdr:col>
      <xdr:colOff>106098</xdr:colOff>
      <xdr:row>19</xdr:row>
      <xdr:rowOff>170718</xdr:rowOff>
    </xdr:from>
    <xdr:to>
      <xdr:col>1</xdr:col>
      <xdr:colOff>2047826</xdr:colOff>
      <xdr:row>22</xdr:row>
      <xdr:rowOff>34079</xdr:rowOff>
    </xdr:to>
    <xdr:pic>
      <xdr:nvPicPr>
        <xdr:cNvPr id="4" name="Picture 3">
          <a:extLst>
            <a:ext uri="{FF2B5EF4-FFF2-40B4-BE49-F238E27FC236}">
              <a16:creationId xmlns:a16="http://schemas.microsoft.com/office/drawing/2014/main" id="{D33F7785-413F-470D-9916-65495FB109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098" y="6371493"/>
          <a:ext cx="2103653" cy="43486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107674</xdr:colOff>
      <xdr:row>5</xdr:row>
      <xdr:rowOff>0</xdr:rowOff>
    </xdr:from>
    <xdr:ext cx="5756413" cy="26456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07674" y="1123950"/>
          <a:ext cx="57564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1</xdr:col>
      <xdr:colOff>8282</xdr:colOff>
      <xdr:row>5</xdr:row>
      <xdr:rowOff>0</xdr:rowOff>
    </xdr:from>
    <xdr:ext cx="184731" cy="264560"/>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8282</xdr:colOff>
      <xdr:row>6</xdr:row>
      <xdr:rowOff>0</xdr:rowOff>
    </xdr:from>
    <xdr:ext cx="184731" cy="264560"/>
    <xdr:sp macro="" textlink="">
      <xdr:nvSpPr>
        <xdr:cNvPr id="2" name="TextBox 1">
          <a:extLst>
            <a:ext uri="{FF2B5EF4-FFF2-40B4-BE49-F238E27FC236}">
              <a16:creationId xmlns:a16="http://schemas.microsoft.com/office/drawing/2014/main" id="{00000000-0008-0000-0600-000003000000}"/>
            </a:ext>
          </a:extLst>
        </xdr:cNvPr>
        <xdr:cNvSpPr txBox="1"/>
      </xdr:nvSpPr>
      <xdr:spPr>
        <a:xfrm>
          <a:off x="122582" y="1285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8282</xdr:colOff>
      <xdr:row>5</xdr:row>
      <xdr:rowOff>0</xdr:rowOff>
    </xdr:from>
    <xdr:ext cx="184731" cy="264560"/>
    <xdr:sp macro="" textlink="">
      <xdr:nvSpPr>
        <xdr:cNvPr id="2" name="TextBox 1">
          <a:extLst>
            <a:ext uri="{FF2B5EF4-FFF2-40B4-BE49-F238E27FC236}">
              <a16:creationId xmlns:a16="http://schemas.microsoft.com/office/drawing/2014/main" id="{00000000-0008-0000-0700-000003000000}"/>
            </a:ext>
          </a:extLst>
        </xdr:cNvPr>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8282</xdr:colOff>
      <xdr:row>5</xdr:row>
      <xdr:rowOff>0</xdr:rowOff>
    </xdr:from>
    <xdr:ext cx="184731" cy="264560"/>
    <xdr:sp macro="" textlink="">
      <xdr:nvSpPr>
        <xdr:cNvPr id="2" name="TextBox 1">
          <a:extLst>
            <a:ext uri="{FF2B5EF4-FFF2-40B4-BE49-F238E27FC236}">
              <a16:creationId xmlns:a16="http://schemas.microsoft.com/office/drawing/2014/main" id="{00000000-0008-0000-0800-000003000000}"/>
            </a:ext>
          </a:extLst>
        </xdr:cNvPr>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16563</xdr:colOff>
      <xdr:row>2</xdr:row>
      <xdr:rowOff>8280</xdr:rowOff>
    </xdr:from>
    <xdr:ext cx="6054587" cy="387286"/>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6563" y="617880"/>
          <a:ext cx="6054587"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a:solidFill>
                <a:sysClr val="windowText" lastClr="000000"/>
              </a:solidFill>
              <a:effectLst/>
              <a:latin typeface="Arial" panose="020B0604020202020204" pitchFamily="34" charset="0"/>
              <a:ea typeface="+mn-ea"/>
              <a:cs typeface="Arial" panose="020B0604020202020204" pitchFamily="34" charset="0"/>
            </a:rPr>
            <a:t>Using the information in the previous 2 questions and the template below, build the income statement for the period. Ensure that your answer reconciles to the retained earnings figure in the balance sheet.</a:t>
          </a:r>
          <a:endParaRPr lang="en-GB" sz="1000" b="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16563</xdr:colOff>
      <xdr:row>2</xdr:row>
      <xdr:rowOff>8280</xdr:rowOff>
    </xdr:from>
    <xdr:ext cx="6054587" cy="387286"/>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63" y="617880"/>
          <a:ext cx="6054587"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0">
              <a:solidFill>
                <a:sysClr val="windowText" lastClr="000000"/>
              </a:solidFill>
              <a:effectLst/>
              <a:latin typeface="Arial" panose="020B0604020202020204" pitchFamily="34" charset="0"/>
              <a:ea typeface="+mn-ea"/>
              <a:cs typeface="Arial" panose="020B0604020202020204" pitchFamily="34" charset="0"/>
            </a:rPr>
            <a:t>Using the information in questions 4 and 5 and the template below, build the cash flow statement. Ensure that your answer reconciles to the cash figure</a:t>
          </a:r>
          <a:r>
            <a:rPr lang="en-US" sz="1000" b="0" baseline="0">
              <a:solidFill>
                <a:sysClr val="windowText" lastClr="000000"/>
              </a:solidFill>
              <a:effectLst/>
              <a:latin typeface="Arial" panose="020B0604020202020204" pitchFamily="34" charset="0"/>
              <a:ea typeface="+mn-ea"/>
              <a:cs typeface="Arial" panose="020B0604020202020204" pitchFamily="34" charset="0"/>
            </a:rPr>
            <a:t> </a:t>
          </a:r>
          <a:r>
            <a:rPr lang="en-US" sz="1000" b="0">
              <a:solidFill>
                <a:sysClr val="windowText" lastClr="000000"/>
              </a:solidFill>
              <a:effectLst/>
              <a:latin typeface="Arial" panose="020B0604020202020204" pitchFamily="34" charset="0"/>
              <a:ea typeface="+mn-ea"/>
              <a:cs typeface="Arial" panose="020B0604020202020204" pitchFamily="34" charset="0"/>
            </a:rPr>
            <a:t>in the balance sheet.</a:t>
          </a:r>
          <a:endParaRPr lang="en-GB" sz="1000" b="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78826</xdr:colOff>
      <xdr:row>2</xdr:row>
      <xdr:rowOff>98533</xdr:rowOff>
    </xdr:from>
    <xdr:ext cx="6417879" cy="741229"/>
    <xdr:sp macro="" textlink="">
      <xdr:nvSpPr>
        <xdr:cNvPr id="2" name="TextBox 1">
          <a:extLst>
            <a:ext uri="{FF2B5EF4-FFF2-40B4-BE49-F238E27FC236}">
              <a16:creationId xmlns:a16="http://schemas.microsoft.com/office/drawing/2014/main" id="{1E022E11-B37B-4481-817D-64ACDA5087C0}"/>
            </a:ext>
          </a:extLst>
        </xdr:cNvPr>
        <xdr:cNvSpPr txBox="1"/>
      </xdr:nvSpPr>
      <xdr:spPr>
        <a:xfrm>
          <a:off x="78826" y="631933"/>
          <a:ext cx="6417879" cy="741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ysClr val="windowText" lastClr="000000"/>
              </a:solidFill>
              <a:effectLst/>
              <a:latin typeface="Arial" panose="020B0604020202020204" pitchFamily="34" charset="0"/>
              <a:ea typeface="+mn-ea"/>
              <a:cs typeface="Arial" panose="020B0604020202020204" pitchFamily="34" charset="0"/>
            </a:rPr>
            <a:t>James Peterson set up a business selling carpets and made the following transactions in the period. Show how each of these transactions will affect assets, liabilities and equity. Also, build the income statement and balance sheet. Prior to setting up the business, there were zero assets, liabilities and equity. Use the templates below to produce your answer.</a:t>
          </a:r>
          <a:endParaRPr lang="en-GB" sz="1100">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78826</xdr:colOff>
      <xdr:row>3</xdr:row>
      <xdr:rowOff>48830</xdr:rowOff>
    </xdr:from>
    <xdr:ext cx="6417879" cy="416781"/>
    <xdr:sp macro="" textlink="">
      <xdr:nvSpPr>
        <xdr:cNvPr id="2" name="TextBox 1">
          <a:extLst>
            <a:ext uri="{FF2B5EF4-FFF2-40B4-BE49-F238E27FC236}">
              <a16:creationId xmlns:a16="http://schemas.microsoft.com/office/drawing/2014/main" id="{50279096-AF3F-497B-B5CF-7ED778982136}"/>
            </a:ext>
          </a:extLst>
        </xdr:cNvPr>
        <xdr:cNvSpPr txBox="1"/>
      </xdr:nvSpPr>
      <xdr:spPr>
        <a:xfrm>
          <a:off x="78826" y="833690"/>
          <a:ext cx="64178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100" baseline="0">
              <a:solidFill>
                <a:sysClr val="windowText" lastClr="000000"/>
              </a:solidFill>
              <a:effectLst/>
              <a:latin typeface="Arial" panose="020B0604020202020204" pitchFamily="34" charset="0"/>
              <a:ea typeface="+mn-ea"/>
              <a:cs typeface="Arial" panose="020B0604020202020204" pitchFamily="34" charset="0"/>
            </a:rPr>
            <a:t>S</a:t>
          </a:r>
          <a:r>
            <a:rPr lang="en-US" sz="1100">
              <a:solidFill>
                <a:sysClr val="windowText" lastClr="000000"/>
              </a:solidFill>
              <a:effectLst/>
              <a:latin typeface="Arial" panose="020B0604020202020204" pitchFamily="34" charset="0"/>
              <a:ea typeface="+mn-ea"/>
              <a:cs typeface="Arial" panose="020B0604020202020204" pitchFamily="34" charset="0"/>
            </a:rPr>
            <a:t>how how each of these</a:t>
          </a:r>
          <a:r>
            <a:rPr lang="en-US" sz="1100" baseline="0">
              <a:solidFill>
                <a:sysClr val="windowText" lastClr="000000"/>
              </a:solidFill>
              <a:effectLst/>
              <a:latin typeface="Arial" panose="020B0604020202020204" pitchFamily="34" charset="0"/>
              <a:ea typeface="+mn-ea"/>
              <a:cs typeface="Arial" panose="020B0604020202020204" pitchFamily="34" charset="0"/>
            </a:rPr>
            <a:t> </a:t>
          </a:r>
          <a:r>
            <a:rPr lang="en-US" sz="1100">
              <a:solidFill>
                <a:sysClr val="windowText" lastClr="000000"/>
              </a:solidFill>
              <a:effectLst/>
              <a:latin typeface="Arial" panose="020B0604020202020204" pitchFamily="34" charset="0"/>
              <a:ea typeface="+mn-ea"/>
              <a:cs typeface="Arial" panose="020B0604020202020204" pitchFamily="34" charset="0"/>
            </a:rPr>
            <a:t>transactions affects assets, liabilities and equity, then</a:t>
          </a:r>
          <a:r>
            <a:rPr lang="en-US" sz="1100" baseline="0">
              <a:solidFill>
                <a:sysClr val="windowText" lastClr="000000"/>
              </a:solidFill>
              <a:effectLst/>
              <a:latin typeface="Arial" panose="020B0604020202020204" pitchFamily="34" charset="0"/>
              <a:ea typeface="+mn-ea"/>
              <a:cs typeface="Arial" panose="020B0604020202020204" pitchFamily="34" charset="0"/>
            </a:rPr>
            <a:t> complete the income statement and balance sheet (taking into account the opening balance sheet provided).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13</xdr:row>
      <xdr:rowOff>114300</xdr:rowOff>
    </xdr:from>
    <xdr:ext cx="4834727" cy="530092"/>
    <xdr:sp macro="" textlink="">
      <xdr:nvSpPr>
        <xdr:cNvPr id="2" name="TextBox 1">
          <a:extLst>
            <a:ext uri="{FF2B5EF4-FFF2-40B4-BE49-F238E27FC236}">
              <a16:creationId xmlns:a16="http://schemas.microsoft.com/office/drawing/2014/main" id="{00000000-0008-0000-1A00-000002000000}"/>
            </a:ext>
          </a:extLst>
        </xdr:cNvPr>
        <xdr:cNvSpPr txBox="1"/>
      </xdr:nvSpPr>
      <xdr:spPr>
        <a:xfrm>
          <a:off x="0" y="2562225"/>
          <a:ext cx="4834727" cy="530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Arial" panose="020B0604020202020204" pitchFamily="34" charset="0"/>
              <a:ea typeface="+mn-ea"/>
              <a:cs typeface="Arial" panose="020B0604020202020204" pitchFamily="34" charset="0"/>
            </a:rPr>
            <a:t>Compute the gross profit and ending inventory under (1) LIFO, and (2) FIFO. You should use the periodic method (ignore the detail of the dates) to calculate the inventory numbers.</a:t>
          </a:r>
          <a:endParaRPr lang="en-GB" sz="1000" b="1">
            <a:solidFill>
              <a:sysClr val="windowText" lastClr="000000"/>
            </a:solidFill>
            <a:effectLst/>
            <a:latin typeface="Arial" panose="020B0604020202020204" pitchFamily="34" charset="0"/>
            <a:ea typeface="+mn-ea"/>
            <a:cs typeface="Arial" panose="020B0604020202020204" pitchFamily="34" charset="0"/>
          </a:endParaRPr>
        </a:p>
        <a:p>
          <a:endParaRPr lang="en-GB" sz="1000" b="1">
            <a:solidFill>
              <a:sysClr val="windowText" lastClr="000000"/>
            </a:solidFill>
            <a:latin typeface="Arial" panose="020B0604020202020204" pitchFamily="34" charset="0"/>
            <a:cs typeface="Arial" panose="020B06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107674</xdr:colOff>
      <xdr:row>2</xdr:row>
      <xdr:rowOff>157370</xdr:rowOff>
    </xdr:from>
    <xdr:ext cx="6013174" cy="363951"/>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7674" y="786020"/>
          <a:ext cx="6013174" cy="363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oneCellAnchor>
    <xdr:from>
      <xdr:col>0</xdr:col>
      <xdr:colOff>107674</xdr:colOff>
      <xdr:row>51</xdr:row>
      <xdr:rowOff>91109</xdr:rowOff>
    </xdr:from>
    <xdr:ext cx="5756413" cy="264560"/>
    <xdr:sp macro="" textlink="">
      <xdr:nvSpPr>
        <xdr:cNvPr id="3" name="TextBox 2">
          <a:extLst>
            <a:ext uri="{FF2B5EF4-FFF2-40B4-BE49-F238E27FC236}">
              <a16:creationId xmlns:a16="http://schemas.microsoft.com/office/drawing/2014/main" id="{00000000-0008-0000-0200-000004000000}"/>
            </a:ext>
          </a:extLst>
        </xdr:cNvPr>
        <xdr:cNvSpPr txBox="1"/>
      </xdr:nvSpPr>
      <xdr:spPr>
        <a:xfrm>
          <a:off x="107674" y="8720759"/>
          <a:ext cx="57564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1</xdr:col>
      <xdr:colOff>8282</xdr:colOff>
      <xdr:row>50</xdr:row>
      <xdr:rowOff>82826</xdr:rowOff>
    </xdr:from>
    <xdr:ext cx="184731" cy="264560"/>
    <xdr:sp macro="" textlink="">
      <xdr:nvSpPr>
        <xdr:cNvPr id="4" name="TextBox 3">
          <a:extLst>
            <a:ext uri="{FF2B5EF4-FFF2-40B4-BE49-F238E27FC236}">
              <a16:creationId xmlns:a16="http://schemas.microsoft.com/office/drawing/2014/main" id="{00000000-0008-0000-0200-000005000000}"/>
            </a:ext>
          </a:extLst>
        </xdr:cNvPr>
        <xdr:cNvSpPr txBox="1"/>
      </xdr:nvSpPr>
      <xdr:spPr>
        <a:xfrm>
          <a:off x="122582" y="855055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0</xdr:col>
      <xdr:colOff>49693</xdr:colOff>
      <xdr:row>50</xdr:row>
      <xdr:rowOff>0</xdr:rowOff>
    </xdr:from>
    <xdr:ext cx="4331804" cy="436786"/>
    <xdr:sp macro="" textlink="">
      <xdr:nvSpPr>
        <xdr:cNvPr id="5" name="TextBox 4">
          <a:extLst>
            <a:ext uri="{FF2B5EF4-FFF2-40B4-BE49-F238E27FC236}">
              <a16:creationId xmlns:a16="http://schemas.microsoft.com/office/drawing/2014/main" id="{00000000-0008-0000-0200-000006000000}"/>
            </a:ext>
          </a:extLst>
        </xdr:cNvPr>
        <xdr:cNvSpPr txBox="1"/>
      </xdr:nvSpPr>
      <xdr:spPr>
        <a:xfrm>
          <a:off x="49693" y="8467725"/>
          <a:ext cx="433180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solidFill>
                <a:sysClr val="windowText" lastClr="000000"/>
              </a:solidFill>
            </a:rPr>
            <a:t>Capital stock at the end of the historical year was 42.0 and there are no changes expected. Cash at the end of the historical year was 3.4.</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107674</xdr:colOff>
      <xdr:row>2</xdr:row>
      <xdr:rowOff>157370</xdr:rowOff>
    </xdr:from>
    <xdr:ext cx="6013174" cy="363951"/>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07674" y="786020"/>
          <a:ext cx="6013174" cy="363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oneCellAnchor>
    <xdr:from>
      <xdr:col>0</xdr:col>
      <xdr:colOff>107674</xdr:colOff>
      <xdr:row>6</xdr:row>
      <xdr:rowOff>0</xdr:rowOff>
    </xdr:from>
    <xdr:ext cx="5756413" cy="264560"/>
    <xdr:sp macro="" textlink="">
      <xdr:nvSpPr>
        <xdr:cNvPr id="3" name="TextBox 2">
          <a:extLst>
            <a:ext uri="{FF2B5EF4-FFF2-40B4-BE49-F238E27FC236}">
              <a16:creationId xmlns:a16="http://schemas.microsoft.com/office/drawing/2014/main" id="{00000000-0008-0000-0300-000004000000}"/>
            </a:ext>
          </a:extLst>
        </xdr:cNvPr>
        <xdr:cNvSpPr txBox="1"/>
      </xdr:nvSpPr>
      <xdr:spPr>
        <a:xfrm>
          <a:off x="107674" y="1285875"/>
          <a:ext cx="57564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1</xdr:col>
      <xdr:colOff>8282</xdr:colOff>
      <xdr:row>6</xdr:row>
      <xdr:rowOff>0</xdr:rowOff>
    </xdr:from>
    <xdr:ext cx="184731" cy="264560"/>
    <xdr:sp macro="" textlink="">
      <xdr:nvSpPr>
        <xdr:cNvPr id="4" name="TextBox 3">
          <a:extLst>
            <a:ext uri="{FF2B5EF4-FFF2-40B4-BE49-F238E27FC236}">
              <a16:creationId xmlns:a16="http://schemas.microsoft.com/office/drawing/2014/main" id="{00000000-0008-0000-0300-000005000000}"/>
            </a:ext>
          </a:extLst>
        </xdr:cNvPr>
        <xdr:cNvSpPr txBox="1"/>
      </xdr:nvSpPr>
      <xdr:spPr>
        <a:xfrm>
          <a:off x="122582" y="1285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8282</xdr:colOff>
      <xdr:row>6</xdr:row>
      <xdr:rowOff>0</xdr:rowOff>
    </xdr:from>
    <xdr:ext cx="184731" cy="264560"/>
    <xdr:sp macro="" textlink="">
      <xdr:nvSpPr>
        <xdr:cNvPr id="5" name="TextBox 4">
          <a:extLst>
            <a:ext uri="{FF2B5EF4-FFF2-40B4-BE49-F238E27FC236}">
              <a16:creationId xmlns:a16="http://schemas.microsoft.com/office/drawing/2014/main" id="{00000000-0008-0000-0300-000006000000}"/>
            </a:ext>
          </a:extLst>
        </xdr:cNvPr>
        <xdr:cNvSpPr txBox="1"/>
      </xdr:nvSpPr>
      <xdr:spPr>
        <a:xfrm>
          <a:off x="122582" y="1285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107674</xdr:colOff>
      <xdr:row>2</xdr:row>
      <xdr:rowOff>157370</xdr:rowOff>
    </xdr:from>
    <xdr:ext cx="6013174" cy="363951"/>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07674" y="786020"/>
          <a:ext cx="6013174" cy="363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GB" sz="1100"/>
        </a:p>
      </xdr:txBody>
    </xdr:sp>
    <xdr:clientData/>
  </xdr:oneCellAnchor>
  <xdr:oneCellAnchor>
    <xdr:from>
      <xdr:col>1</xdr:col>
      <xdr:colOff>8282</xdr:colOff>
      <xdr:row>5</xdr:row>
      <xdr:rowOff>0</xdr:rowOff>
    </xdr:from>
    <xdr:ext cx="184731" cy="264560"/>
    <xdr:sp macro="" textlink="">
      <xdr:nvSpPr>
        <xdr:cNvPr id="3" name="TextBox 2">
          <a:extLst>
            <a:ext uri="{FF2B5EF4-FFF2-40B4-BE49-F238E27FC236}">
              <a16:creationId xmlns:a16="http://schemas.microsoft.com/office/drawing/2014/main" id="{00000000-0008-0000-0400-000004000000}"/>
            </a:ext>
          </a:extLst>
        </xdr:cNvPr>
        <xdr:cNvSpPr txBox="1"/>
      </xdr:nvSpPr>
      <xdr:spPr>
        <a:xfrm>
          <a:off x="122582" y="1123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AMT Training">
      <a:dk1>
        <a:srgbClr val="000000"/>
      </a:dk1>
      <a:lt1>
        <a:sysClr val="window" lastClr="FFFFFF"/>
      </a:lt1>
      <a:dk2>
        <a:srgbClr val="46484C"/>
      </a:dk2>
      <a:lt2>
        <a:srgbClr val="65686D"/>
      </a:lt2>
      <a:accent1>
        <a:srgbClr val="AFD7FF"/>
      </a:accent1>
      <a:accent2>
        <a:srgbClr val="007BEA"/>
      </a:accent2>
      <a:accent3>
        <a:srgbClr val="64E8C8"/>
      </a:accent3>
      <a:accent4>
        <a:srgbClr val="6DB9FF"/>
      </a:accent4>
      <a:accent5>
        <a:srgbClr val="C5D2D5"/>
      </a:accent5>
      <a:accent6>
        <a:srgbClr val="FFFFA0"/>
      </a:accent6>
      <a:hlink>
        <a:srgbClr val="00B050"/>
      </a:hlink>
      <a:folHlink>
        <a:srgbClr val="D2001E"/>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19"/>
  <sheetViews>
    <sheetView showGridLines="0" zoomScaleNormal="100" workbookViewId="0"/>
  </sheetViews>
  <sheetFormatPr defaultColWidth="9.140625" defaultRowHeight="15" x14ac:dyDescent="0.25"/>
  <cols>
    <col min="1" max="1" width="2.42578125" style="3" customWidth="1"/>
    <col min="2" max="2" width="30.7109375" style="3" customWidth="1"/>
    <col min="3" max="3" width="22.28515625" style="3" bestFit="1" customWidth="1"/>
    <col min="4" max="4" width="15" style="3" customWidth="1"/>
    <col min="5" max="14" width="13.42578125" style="3" customWidth="1"/>
    <col min="15" max="15" width="13.140625" style="3" customWidth="1"/>
    <col min="16" max="16" width="12.7109375" style="3" customWidth="1"/>
    <col min="17" max="17" width="13.140625" style="3" customWidth="1"/>
    <col min="18" max="16384" width="9.140625" style="3"/>
  </cols>
  <sheetData>
    <row r="1" spans="1:15" ht="30" x14ac:dyDescent="0.45">
      <c r="A1" s="9" t="s">
        <v>2</v>
      </c>
      <c r="B1" s="1"/>
      <c r="C1" s="1"/>
      <c r="D1" s="1"/>
      <c r="E1" s="2"/>
      <c r="F1" s="2"/>
      <c r="G1" s="2"/>
      <c r="H1" s="2"/>
      <c r="I1" s="2"/>
      <c r="J1" s="2"/>
      <c r="K1" s="2"/>
      <c r="L1" s="2"/>
      <c r="M1" s="2"/>
      <c r="N1" s="2"/>
      <c r="O1" s="2"/>
    </row>
    <row r="2" spans="1:15" ht="19.5" thickBot="1" x14ac:dyDescent="0.35">
      <c r="A2" s="5" t="s">
        <v>592</v>
      </c>
      <c r="B2" s="6"/>
      <c r="C2" s="6"/>
      <c r="D2" s="6"/>
      <c r="E2" s="7"/>
      <c r="F2" s="7"/>
      <c r="G2" s="7"/>
      <c r="H2" s="7"/>
      <c r="I2" s="7"/>
      <c r="J2" s="7"/>
      <c r="K2" s="7"/>
      <c r="L2" s="7"/>
      <c r="M2" s="7"/>
      <c r="N2" s="7"/>
      <c r="O2" s="7"/>
    </row>
    <row r="3" spans="1:15" ht="15.75" thickTop="1" x14ac:dyDescent="0.25"/>
    <row r="4" spans="1:15" ht="18.75" x14ac:dyDescent="0.25">
      <c r="A4" s="4" t="s">
        <v>80</v>
      </c>
      <c r="B4" s="4"/>
      <c r="C4" s="4"/>
      <c r="D4" s="4"/>
      <c r="E4" s="4"/>
      <c r="F4" s="4"/>
      <c r="G4" s="4"/>
      <c r="H4" s="4"/>
      <c r="I4" s="4"/>
      <c r="J4" s="4"/>
      <c r="K4" s="4"/>
      <c r="L4" s="4"/>
      <c r="M4" s="4"/>
      <c r="N4" s="4"/>
      <c r="O4" s="4"/>
    </row>
    <row r="6" spans="1:15" x14ac:dyDescent="0.25">
      <c r="B6" t="s">
        <v>78</v>
      </c>
      <c r="C6" s="8" t="s">
        <v>79</v>
      </c>
      <c r="D6" s="108"/>
    </row>
    <row r="7" spans="1:15" x14ac:dyDescent="0.25">
      <c r="B7"/>
      <c r="C7" s="8" t="s">
        <v>140</v>
      </c>
      <c r="D7" s="108"/>
    </row>
    <row r="8" spans="1:15" x14ac:dyDescent="0.25">
      <c r="B8"/>
      <c r="C8" s="8" t="s">
        <v>342</v>
      </c>
    </row>
    <row r="9" spans="1:15" x14ac:dyDescent="0.25">
      <c r="B9"/>
      <c r="C9" s="8" t="s">
        <v>417</v>
      </c>
      <c r="D9" s="108"/>
    </row>
    <row r="10" spans="1:15" x14ac:dyDescent="0.25">
      <c r="B10"/>
      <c r="C10" s="8" t="s">
        <v>537</v>
      </c>
    </row>
    <row r="11" spans="1:15" x14ac:dyDescent="0.25">
      <c r="B11"/>
      <c r="C11" s="8" t="s">
        <v>538</v>
      </c>
      <c r="D11" s="108"/>
    </row>
    <row r="13" spans="1:15" ht="18.75" x14ac:dyDescent="0.25">
      <c r="A13" s="4" t="s">
        <v>0</v>
      </c>
      <c r="B13" s="4"/>
      <c r="C13" s="4"/>
      <c r="D13" s="4"/>
      <c r="E13" s="4"/>
      <c r="F13" s="4"/>
      <c r="G13" s="4"/>
      <c r="H13" s="4"/>
      <c r="I13" s="4"/>
      <c r="J13" s="4"/>
      <c r="K13" s="4"/>
      <c r="L13" s="4"/>
      <c r="M13" s="4"/>
      <c r="N13" s="4"/>
      <c r="O13" s="4"/>
    </row>
    <row r="19" spans="1:15" ht="18.75" x14ac:dyDescent="0.25">
      <c r="A19" s="4" t="s">
        <v>1</v>
      </c>
      <c r="B19" s="4"/>
      <c r="C19" s="4"/>
      <c r="D19" s="4"/>
      <c r="E19" s="4"/>
      <c r="F19" s="4"/>
      <c r="G19" s="4"/>
      <c r="H19" s="4"/>
      <c r="I19" s="4"/>
      <c r="J19" s="4"/>
      <c r="K19" s="4"/>
      <c r="L19" s="4"/>
      <c r="M19" s="4"/>
      <c r="N19" s="4"/>
      <c r="O19" s="4"/>
    </row>
  </sheetData>
  <pageMargins left="0.74803149606299213" right="0.74803149606299213" top="0.98425196850393704" bottom="0.98425196850393704" header="0.51181102362204722" footer="0.51181102362204722"/>
  <pageSetup paperSize="9" scale="63" fitToHeight="4" orientation="landscape" horizontalDpi="4294967292" r:id="rId1"/>
  <headerFooter alignWithMargins="0">
    <oddHeader>&amp;L&amp;F &amp;A</oddHeader>
    <oddFooter>&amp;L© Adkins Matchett &amp; Toy 2017&amp;R &amp;P of &amp;N</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58"/>
  <sheetViews>
    <sheetView showGridLines="0" zoomScaleNormal="100" workbookViewId="0">
      <pane ySplit="2" topLeftCell="A3" activePane="bottomLeft" state="frozen"/>
      <selection pane="bottomLeft"/>
    </sheetView>
  </sheetViews>
  <sheetFormatPr defaultColWidth="9.28515625" defaultRowHeight="12.75" x14ac:dyDescent="0.2"/>
  <cols>
    <col min="1" max="1" width="1.7109375" style="14" customWidth="1"/>
    <col min="2" max="2" width="9.7109375" style="14" bestFit="1" customWidth="1"/>
    <col min="3" max="3" width="10.7109375" style="14" bestFit="1" customWidth="1"/>
    <col min="4" max="4" width="10.28515625" style="14" bestFit="1" customWidth="1"/>
    <col min="5" max="5" width="9.7109375" style="14" bestFit="1" customWidth="1"/>
    <col min="6" max="6" width="17.28515625" style="14" bestFit="1" customWidth="1"/>
    <col min="7" max="7" width="10.28515625" style="14" bestFit="1" customWidth="1"/>
    <col min="8" max="9" width="9.5703125" style="14" bestFit="1" customWidth="1"/>
    <col min="10" max="11" width="9.7109375" style="14" bestFit="1" customWidth="1"/>
    <col min="12" max="13" width="10.28515625" style="14" bestFit="1" customWidth="1"/>
    <col min="14" max="14" width="9.5703125" style="14" bestFit="1" customWidth="1"/>
    <col min="15" max="15" width="9.7109375" style="14" bestFit="1" customWidth="1"/>
    <col min="16" max="16" width="10.28515625" style="14" bestFit="1" customWidth="1"/>
    <col min="17" max="17" width="9.28515625" style="14"/>
    <col min="18" max="18" width="9.5703125" style="14" bestFit="1" customWidth="1"/>
    <col min="19" max="19" width="10.28515625" style="14" bestFit="1" customWidth="1"/>
    <col min="20" max="16384" width="9.28515625" style="14"/>
  </cols>
  <sheetData>
    <row r="1" spans="1:10" ht="30" x14ac:dyDescent="0.45">
      <c r="A1" s="9" t="str">
        <f>CoName</f>
        <v>Accounting fundamentals</v>
      </c>
      <c r="B1" s="10"/>
      <c r="C1" s="10"/>
      <c r="D1" s="11"/>
      <c r="E1" s="11"/>
      <c r="F1" s="11"/>
      <c r="G1" s="11"/>
      <c r="H1" s="11"/>
      <c r="I1" s="11"/>
      <c r="J1" s="11"/>
    </row>
    <row r="2" spans="1:10" ht="19.5" thickBot="1" x14ac:dyDescent="0.35">
      <c r="A2" s="5" t="str">
        <f ca="1">"Question AF #"&amp;RIGHT(CELL("filename",$A$1),LEN(CELL("filename",$A$1))-FIND("]",CELL("filename",$A$1))-4)</f>
        <v>Question AF #9</v>
      </c>
      <c r="B2" s="12"/>
      <c r="C2" s="12"/>
      <c r="D2" s="13"/>
      <c r="E2" s="13"/>
      <c r="F2" s="13"/>
      <c r="G2" s="13"/>
      <c r="H2" s="13"/>
      <c r="I2" s="13"/>
      <c r="J2" s="13"/>
    </row>
    <row r="3" spans="1:10" ht="13.5" thickTop="1" x14ac:dyDescent="0.2"/>
    <row r="8" spans="1:10" x14ac:dyDescent="0.2">
      <c r="A8" s="16" t="s">
        <v>3</v>
      </c>
    </row>
    <row r="9" spans="1:10" x14ac:dyDescent="0.2">
      <c r="B9" s="32"/>
    </row>
    <row r="10" spans="1:10" x14ac:dyDescent="0.2">
      <c r="B10" s="31">
        <v>1</v>
      </c>
      <c r="C10" s="14" t="s">
        <v>47</v>
      </c>
      <c r="D10" s="23"/>
      <c r="E10" s="23"/>
      <c r="F10" s="23"/>
    </row>
    <row r="11" spans="1:10" x14ac:dyDescent="0.2">
      <c r="B11" s="32"/>
    </row>
    <row r="12" spans="1:10" x14ac:dyDescent="0.2">
      <c r="B12" s="32"/>
      <c r="C12" s="23" t="s">
        <v>5</v>
      </c>
      <c r="D12" s="23"/>
      <c r="E12" s="23" t="s">
        <v>6</v>
      </c>
      <c r="F12" s="23" t="s">
        <v>7</v>
      </c>
      <c r="G12" s="15"/>
    </row>
    <row r="13" spans="1:10" x14ac:dyDescent="0.2">
      <c r="B13" s="32"/>
      <c r="C13" s="24"/>
      <c r="D13" s="24"/>
      <c r="F13" s="24"/>
      <c r="G13" s="24"/>
    </row>
    <row r="14" spans="1:10" x14ac:dyDescent="0.2">
      <c r="B14" s="32"/>
      <c r="C14" s="24"/>
      <c r="D14" s="24"/>
      <c r="F14" s="24"/>
      <c r="G14" s="24"/>
    </row>
    <row r="15" spans="1:10" x14ac:dyDescent="0.2">
      <c r="B15" s="32"/>
    </row>
    <row r="16" spans="1:10" x14ac:dyDescent="0.2">
      <c r="B16" s="31">
        <v>2</v>
      </c>
      <c r="C16" s="14" t="s">
        <v>48</v>
      </c>
      <c r="D16" s="23"/>
      <c r="E16" s="23"/>
    </row>
    <row r="17" spans="2:8" x14ac:dyDescent="0.2">
      <c r="B17" s="32"/>
    </row>
    <row r="18" spans="2:8" x14ac:dyDescent="0.2">
      <c r="B18" s="32"/>
      <c r="C18" s="23" t="s">
        <v>5</v>
      </c>
      <c r="D18" s="23"/>
      <c r="E18" s="23" t="s">
        <v>6</v>
      </c>
      <c r="F18" s="23" t="s">
        <v>7</v>
      </c>
      <c r="G18" s="15"/>
    </row>
    <row r="19" spans="2:8" x14ac:dyDescent="0.2">
      <c r="B19" s="32"/>
      <c r="C19" s="24"/>
      <c r="D19" s="24"/>
      <c r="F19" s="24"/>
      <c r="G19" s="24"/>
    </row>
    <row r="20" spans="2:8" x14ac:dyDescent="0.2">
      <c r="B20" s="32"/>
      <c r="C20" s="24"/>
      <c r="D20" s="24"/>
      <c r="F20" s="24"/>
      <c r="G20" s="24"/>
    </row>
    <row r="21" spans="2:8" x14ac:dyDescent="0.2">
      <c r="B21" s="32"/>
    </row>
    <row r="22" spans="2:8" x14ac:dyDescent="0.2">
      <c r="B22" s="31">
        <v>3</v>
      </c>
      <c r="C22" s="14" t="s">
        <v>49</v>
      </c>
      <c r="D22" s="23"/>
      <c r="E22" s="23"/>
      <c r="F22" s="23"/>
      <c r="G22" s="23"/>
      <c r="H22" s="23"/>
    </row>
    <row r="23" spans="2:8" x14ac:dyDescent="0.2">
      <c r="B23" s="32"/>
    </row>
    <row r="24" spans="2:8" x14ac:dyDescent="0.2">
      <c r="B24" s="32"/>
      <c r="C24" s="23" t="s">
        <v>5</v>
      </c>
      <c r="D24" s="23"/>
      <c r="E24" s="23" t="s">
        <v>6</v>
      </c>
      <c r="F24" s="23" t="s">
        <v>7</v>
      </c>
      <c r="G24" s="15"/>
    </row>
    <row r="25" spans="2:8" x14ac:dyDescent="0.2">
      <c r="B25" s="32"/>
      <c r="C25" s="24"/>
      <c r="D25" s="24"/>
      <c r="F25" s="24"/>
      <c r="G25" s="24"/>
    </row>
    <row r="26" spans="2:8" x14ac:dyDescent="0.2">
      <c r="B26" s="32"/>
      <c r="C26" s="24"/>
      <c r="D26" s="24"/>
      <c r="F26" s="24"/>
      <c r="G26" s="24"/>
    </row>
    <row r="27" spans="2:8" x14ac:dyDescent="0.2">
      <c r="B27" s="32"/>
    </row>
    <row r="28" spans="2:8" x14ac:dyDescent="0.2">
      <c r="B28" s="31">
        <v>4</v>
      </c>
      <c r="C28" s="14" t="s">
        <v>50</v>
      </c>
      <c r="D28" s="23"/>
      <c r="E28" s="23"/>
      <c r="F28" s="23"/>
      <c r="G28" s="23"/>
    </row>
    <row r="29" spans="2:8" x14ac:dyDescent="0.2">
      <c r="B29" s="32"/>
    </row>
    <row r="30" spans="2:8" x14ac:dyDescent="0.2">
      <c r="B30" s="32"/>
      <c r="C30" s="23" t="s">
        <v>5</v>
      </c>
      <c r="D30" s="23"/>
      <c r="E30" s="23" t="s">
        <v>6</v>
      </c>
      <c r="F30" s="23" t="s">
        <v>7</v>
      </c>
      <c r="G30" s="15"/>
    </row>
    <row r="31" spans="2:8" x14ac:dyDescent="0.2">
      <c r="B31" s="32"/>
      <c r="C31" s="24"/>
      <c r="D31" s="24"/>
      <c r="F31" s="24"/>
      <c r="G31" s="24"/>
    </row>
    <row r="32" spans="2:8" x14ac:dyDescent="0.2">
      <c r="B32" s="32"/>
      <c r="C32" s="24"/>
      <c r="D32" s="24"/>
      <c r="F32" s="24"/>
      <c r="G32" s="24"/>
    </row>
    <row r="33" spans="2:7" x14ac:dyDescent="0.2">
      <c r="B33" s="32"/>
    </row>
    <row r="34" spans="2:7" x14ac:dyDescent="0.2">
      <c r="B34" s="31">
        <v>5</v>
      </c>
      <c r="C34" s="14" t="s">
        <v>51</v>
      </c>
      <c r="D34" s="23"/>
      <c r="E34" s="23"/>
      <c r="F34" s="23"/>
    </row>
    <row r="35" spans="2:7" x14ac:dyDescent="0.2">
      <c r="B35" s="32"/>
    </row>
    <row r="36" spans="2:7" x14ac:dyDescent="0.2">
      <c r="B36" s="32"/>
      <c r="C36" s="23" t="s">
        <v>5</v>
      </c>
      <c r="D36" s="23"/>
      <c r="E36" s="23" t="s">
        <v>6</v>
      </c>
      <c r="F36" s="23" t="s">
        <v>7</v>
      </c>
      <c r="G36" s="15"/>
    </row>
    <row r="37" spans="2:7" x14ac:dyDescent="0.2">
      <c r="B37" s="32"/>
      <c r="C37" s="24"/>
      <c r="D37" s="24"/>
      <c r="F37" s="24"/>
      <c r="G37" s="24"/>
    </row>
    <row r="38" spans="2:7" x14ac:dyDescent="0.2">
      <c r="B38" s="32"/>
      <c r="C38" s="24"/>
      <c r="D38" s="24"/>
      <c r="F38" s="24"/>
      <c r="G38" s="24"/>
    </row>
    <row r="39" spans="2:7" x14ac:dyDescent="0.2">
      <c r="B39" s="32"/>
    </row>
    <row r="40" spans="2:7" x14ac:dyDescent="0.2">
      <c r="B40" s="31">
        <v>6</v>
      </c>
      <c r="C40" s="14" t="s">
        <v>52</v>
      </c>
      <c r="D40" s="23"/>
      <c r="E40" s="23"/>
      <c r="F40" s="23"/>
    </row>
    <row r="41" spans="2:7" x14ac:dyDescent="0.2">
      <c r="B41" s="32"/>
    </row>
    <row r="42" spans="2:7" x14ac:dyDescent="0.2">
      <c r="B42" s="32"/>
      <c r="C42" s="23" t="s">
        <v>5</v>
      </c>
      <c r="D42" s="23"/>
      <c r="E42" s="23" t="s">
        <v>6</v>
      </c>
      <c r="F42" s="23" t="s">
        <v>7</v>
      </c>
      <c r="G42" s="15"/>
    </row>
    <row r="43" spans="2:7" x14ac:dyDescent="0.2">
      <c r="B43" s="32"/>
      <c r="C43" s="24"/>
      <c r="D43" s="24"/>
      <c r="F43" s="24"/>
      <c r="G43" s="24"/>
    </row>
    <row r="44" spans="2:7" x14ac:dyDescent="0.2">
      <c r="B44" s="32"/>
      <c r="C44" s="24"/>
      <c r="D44" s="24"/>
      <c r="F44" s="24"/>
      <c r="G44" s="24"/>
    </row>
    <row r="45" spans="2:7" x14ac:dyDescent="0.2">
      <c r="B45" s="32"/>
    </row>
    <row r="46" spans="2:7" x14ac:dyDescent="0.2">
      <c r="B46" s="31">
        <v>7</v>
      </c>
      <c r="C46" s="14" t="s">
        <v>53</v>
      </c>
      <c r="D46" s="23"/>
      <c r="E46" s="23"/>
      <c r="F46" s="23"/>
    </row>
    <row r="47" spans="2:7" x14ac:dyDescent="0.2">
      <c r="B47" s="32"/>
    </row>
    <row r="48" spans="2:7" x14ac:dyDescent="0.2">
      <c r="B48" s="32"/>
      <c r="C48" s="15" t="s">
        <v>5</v>
      </c>
      <c r="D48" s="15"/>
      <c r="E48" s="15" t="s">
        <v>6</v>
      </c>
      <c r="F48" s="15" t="s">
        <v>7</v>
      </c>
      <c r="G48" s="15"/>
    </row>
    <row r="49" spans="1:7" x14ac:dyDescent="0.2">
      <c r="B49" s="32"/>
      <c r="C49" s="24"/>
      <c r="D49" s="24"/>
      <c r="F49" s="24"/>
      <c r="G49" s="24"/>
    </row>
    <row r="50" spans="1:7" x14ac:dyDescent="0.2">
      <c r="B50" s="32"/>
      <c r="C50" s="24"/>
      <c r="D50" s="24"/>
      <c r="F50" s="24"/>
      <c r="G50" s="24"/>
    </row>
    <row r="51" spans="1:7" x14ac:dyDescent="0.2">
      <c r="B51" s="32"/>
    </row>
    <row r="52" spans="1:7" x14ac:dyDescent="0.2">
      <c r="B52" s="31">
        <v>8</v>
      </c>
      <c r="C52" s="14" t="s">
        <v>54</v>
      </c>
      <c r="D52" s="23"/>
      <c r="E52" s="23"/>
      <c r="F52" s="23"/>
    </row>
    <row r="53" spans="1:7" x14ac:dyDescent="0.2">
      <c r="B53" s="32"/>
    </row>
    <row r="54" spans="1:7" x14ac:dyDescent="0.2">
      <c r="B54" s="32"/>
      <c r="C54" s="23" t="s">
        <v>5</v>
      </c>
      <c r="D54" s="23"/>
      <c r="E54" s="23" t="s">
        <v>6</v>
      </c>
      <c r="F54" s="23" t="s">
        <v>7</v>
      </c>
      <c r="G54" s="15"/>
    </row>
    <row r="55" spans="1:7" x14ac:dyDescent="0.2">
      <c r="B55" s="32"/>
      <c r="C55" s="24"/>
      <c r="D55" s="24"/>
      <c r="F55" s="24"/>
      <c r="G55" s="24"/>
    </row>
    <row r="56" spans="1:7" x14ac:dyDescent="0.2">
      <c r="B56" s="32"/>
      <c r="C56" s="24"/>
      <c r="D56" s="24"/>
      <c r="F56" s="24"/>
      <c r="G56" s="24"/>
    </row>
    <row r="57" spans="1:7" x14ac:dyDescent="0.2">
      <c r="B57" s="32"/>
    </row>
    <row r="58" spans="1:7" x14ac:dyDescent="0.2">
      <c r="B58" s="31">
        <v>9</v>
      </c>
      <c r="C58" s="14" t="s">
        <v>55</v>
      </c>
      <c r="D58" s="23"/>
      <c r="E58" s="23"/>
      <c r="F58" s="23"/>
    </row>
    <row r="60" spans="1:7" x14ac:dyDescent="0.2">
      <c r="C60" s="23" t="s">
        <v>5</v>
      </c>
      <c r="D60" s="23"/>
      <c r="E60" s="23" t="s">
        <v>6</v>
      </c>
      <c r="F60" s="23" t="s">
        <v>7</v>
      </c>
      <c r="G60" s="15"/>
    </row>
    <row r="61" spans="1:7" x14ac:dyDescent="0.2">
      <c r="C61" s="24"/>
      <c r="D61" s="24"/>
      <c r="F61" s="24"/>
      <c r="G61" s="24"/>
    </row>
    <row r="62" spans="1:7" x14ac:dyDescent="0.2">
      <c r="C62" s="24"/>
      <c r="D62" s="24"/>
      <c r="F62" s="24"/>
      <c r="G62" s="24"/>
    </row>
    <row r="64" spans="1:7" x14ac:dyDescent="0.2">
      <c r="A64" s="16" t="s">
        <v>22</v>
      </c>
    </row>
    <row r="66" spans="1:16" x14ac:dyDescent="0.2">
      <c r="A66" s="16"/>
      <c r="B66" s="16" t="s">
        <v>64</v>
      </c>
      <c r="F66" s="16"/>
      <c r="G66" s="29">
        <v>1</v>
      </c>
      <c r="H66" s="29">
        <v>2</v>
      </c>
      <c r="I66" s="29">
        <v>3</v>
      </c>
      <c r="J66" s="29">
        <v>4</v>
      </c>
      <c r="K66" s="29">
        <v>5</v>
      </c>
      <c r="L66" s="29">
        <v>6</v>
      </c>
      <c r="M66" s="29">
        <v>7</v>
      </c>
      <c r="N66" s="29">
        <v>8</v>
      </c>
      <c r="O66" s="29">
        <v>9</v>
      </c>
      <c r="P66" s="22" t="s">
        <v>24</v>
      </c>
    </row>
    <row r="67" spans="1:16" x14ac:dyDescent="0.2">
      <c r="B67" s="14" t="s">
        <v>65</v>
      </c>
      <c r="G67"/>
      <c r="H67"/>
      <c r="I67"/>
      <c r="J67"/>
      <c r="K67"/>
      <c r="L67"/>
      <c r="M67"/>
      <c r="N67"/>
      <c r="O67"/>
    </row>
    <row r="68" spans="1:16" x14ac:dyDescent="0.2">
      <c r="B68" s="14" t="s">
        <v>26</v>
      </c>
      <c r="G68"/>
      <c r="H68"/>
      <c r="I68"/>
      <c r="J68"/>
      <c r="K68"/>
      <c r="L68"/>
      <c r="M68"/>
      <c r="N68"/>
      <c r="O68"/>
    </row>
    <row r="69" spans="1:16" s="16" customFormat="1" x14ac:dyDescent="0.2">
      <c r="B69" s="16" t="s">
        <v>27</v>
      </c>
      <c r="G69"/>
      <c r="H69"/>
      <c r="I69"/>
      <c r="J69"/>
      <c r="K69"/>
      <c r="L69"/>
      <c r="M69"/>
      <c r="N69"/>
      <c r="O69"/>
    </row>
    <row r="70" spans="1:16" x14ac:dyDescent="0.2">
      <c r="B70" s="14" t="s">
        <v>66</v>
      </c>
      <c r="G70"/>
      <c r="H70"/>
      <c r="I70"/>
      <c r="J70"/>
      <c r="K70"/>
      <c r="L70"/>
      <c r="M70"/>
      <c r="N70"/>
      <c r="O70"/>
    </row>
    <row r="71" spans="1:16" s="16" customFormat="1" x14ac:dyDescent="0.2">
      <c r="B71" s="16" t="s">
        <v>29</v>
      </c>
      <c r="G71"/>
      <c r="H71"/>
      <c r="I71"/>
      <c r="J71"/>
      <c r="K71"/>
      <c r="L71"/>
      <c r="M71"/>
      <c r="N71"/>
      <c r="O71"/>
    </row>
    <row r="72" spans="1:16" x14ac:dyDescent="0.2">
      <c r="B72" s="14" t="s">
        <v>30</v>
      </c>
      <c r="G72"/>
      <c r="H72"/>
      <c r="I72"/>
      <c r="J72"/>
      <c r="K72"/>
      <c r="L72"/>
      <c r="M72"/>
      <c r="N72"/>
      <c r="O72"/>
    </row>
    <row r="73" spans="1:16" x14ac:dyDescent="0.2">
      <c r="A73" s="16"/>
      <c r="B73" s="16" t="s">
        <v>31</v>
      </c>
      <c r="F73" s="16"/>
      <c r="G73"/>
      <c r="H73"/>
      <c r="I73"/>
      <c r="J73"/>
      <c r="K73"/>
      <c r="L73"/>
      <c r="M73"/>
      <c r="N73"/>
      <c r="O73"/>
      <c r="P73" s="16"/>
    </row>
    <row r="74" spans="1:16" x14ac:dyDescent="0.2">
      <c r="B74" s="14" t="s">
        <v>32</v>
      </c>
      <c r="G74"/>
      <c r="H74"/>
      <c r="I74"/>
      <c r="J74"/>
      <c r="K74"/>
      <c r="L74"/>
      <c r="M74"/>
      <c r="N74"/>
      <c r="O74"/>
    </row>
    <row r="75" spans="1:16" x14ac:dyDescent="0.2">
      <c r="A75" s="16"/>
      <c r="B75" s="16" t="s">
        <v>33</v>
      </c>
      <c r="F75" s="16"/>
      <c r="G75"/>
      <c r="H75"/>
      <c r="I75"/>
      <c r="J75"/>
      <c r="K75"/>
      <c r="L75"/>
      <c r="M75"/>
      <c r="N75"/>
      <c r="O75"/>
      <c r="P75" s="16"/>
    </row>
    <row r="77" spans="1:16" x14ac:dyDescent="0.2">
      <c r="B77" s="16" t="s">
        <v>67</v>
      </c>
      <c r="C77" s="16"/>
      <c r="D77" s="16"/>
      <c r="E77" s="16"/>
      <c r="F77" s="22" t="s">
        <v>35</v>
      </c>
      <c r="G77" s="30">
        <v>1</v>
      </c>
      <c r="H77" s="30">
        <v>2</v>
      </c>
      <c r="I77" s="30">
        <v>3</v>
      </c>
      <c r="J77" s="30">
        <v>4</v>
      </c>
      <c r="K77" s="30">
        <v>5</v>
      </c>
      <c r="L77" s="30">
        <v>6</v>
      </c>
      <c r="M77" s="30">
        <v>7</v>
      </c>
      <c r="N77" s="30">
        <v>8</v>
      </c>
      <c r="O77" s="30">
        <v>9</v>
      </c>
      <c r="P77" s="22" t="s">
        <v>36</v>
      </c>
    </row>
    <row r="78" spans="1:16" x14ac:dyDescent="0.2">
      <c r="B78" s="14" t="s">
        <v>68</v>
      </c>
      <c r="F78" s="21">
        <v>35406</v>
      </c>
      <c r="G78"/>
      <c r="H78"/>
      <c r="I78"/>
      <c r="J78"/>
      <c r="K78"/>
      <c r="L78"/>
      <c r="M78"/>
      <c r="N78"/>
      <c r="O78"/>
    </row>
    <row r="79" spans="1:16" x14ac:dyDescent="0.2">
      <c r="B79" s="14" t="s">
        <v>56</v>
      </c>
      <c r="F79" s="21">
        <v>12514</v>
      </c>
      <c r="G79"/>
      <c r="H79"/>
      <c r="I79"/>
      <c r="J79"/>
      <c r="K79"/>
      <c r="L79"/>
      <c r="M79"/>
      <c r="N79"/>
      <c r="O79"/>
    </row>
    <row r="80" spans="1:16" x14ac:dyDescent="0.2">
      <c r="B80" s="14" t="s">
        <v>12</v>
      </c>
      <c r="F80" s="21">
        <v>12616</v>
      </c>
      <c r="G80"/>
      <c r="H80"/>
      <c r="I80"/>
      <c r="J80"/>
      <c r="K80"/>
      <c r="L80"/>
      <c r="M80"/>
      <c r="N80"/>
      <c r="O80"/>
    </row>
    <row r="81" spans="2:16" x14ac:dyDescent="0.2">
      <c r="B81" s="14" t="s">
        <v>59</v>
      </c>
      <c r="F81" s="21">
        <v>7527</v>
      </c>
      <c r="G81"/>
      <c r="H81"/>
      <c r="I81"/>
      <c r="J81"/>
      <c r="K81"/>
      <c r="L81"/>
      <c r="M81"/>
      <c r="N81"/>
      <c r="O81"/>
    </row>
    <row r="82" spans="2:16" s="16" customFormat="1" x14ac:dyDescent="0.2">
      <c r="B82" s="16" t="s">
        <v>69</v>
      </c>
      <c r="F82" s="16">
        <f>SUM(F78:F81)</f>
        <v>68063</v>
      </c>
      <c r="G82"/>
      <c r="H82"/>
      <c r="I82"/>
      <c r="J82"/>
      <c r="K82"/>
      <c r="L82"/>
      <c r="M82"/>
      <c r="N82"/>
      <c r="O82"/>
    </row>
    <row r="83" spans="2:16" x14ac:dyDescent="0.2">
      <c r="B83" s="17"/>
      <c r="F83" s="18"/>
      <c r="G83"/>
      <c r="H83"/>
      <c r="I83"/>
      <c r="J83"/>
      <c r="K83"/>
      <c r="L83"/>
      <c r="M83"/>
      <c r="N83"/>
      <c r="O83"/>
    </row>
    <row r="84" spans="2:16" x14ac:dyDescent="0.2">
      <c r="B84" s="23" t="s">
        <v>57</v>
      </c>
      <c r="C84" s="23"/>
      <c r="F84" s="21">
        <v>59600</v>
      </c>
      <c r="G84"/>
      <c r="H84"/>
      <c r="I84"/>
      <c r="J84"/>
      <c r="K84"/>
      <c r="L84"/>
      <c r="M84"/>
      <c r="N84"/>
      <c r="O84"/>
    </row>
    <row r="85" spans="2:16" x14ac:dyDescent="0.2">
      <c r="B85" s="23" t="s">
        <v>60</v>
      </c>
      <c r="C85" s="23"/>
      <c r="F85" s="21">
        <v>1000</v>
      </c>
      <c r="G85"/>
      <c r="H85"/>
      <c r="I85"/>
      <c r="J85"/>
      <c r="K85"/>
      <c r="L85"/>
      <c r="M85"/>
      <c r="N85"/>
      <c r="O85"/>
    </row>
    <row r="86" spans="2:16" x14ac:dyDescent="0.2">
      <c r="B86" s="23" t="s">
        <v>61</v>
      </c>
      <c r="C86" s="23"/>
      <c r="F86" s="21">
        <v>2411</v>
      </c>
      <c r="G86"/>
      <c r="H86"/>
      <c r="I86"/>
      <c r="J86"/>
      <c r="K86"/>
      <c r="L86"/>
      <c r="M86"/>
      <c r="N86"/>
      <c r="O86"/>
    </row>
    <row r="87" spans="2:16" x14ac:dyDescent="0.2">
      <c r="B87" s="16" t="s">
        <v>37</v>
      </c>
      <c r="F87" s="22">
        <f>SUM(F82,F84:F86)</f>
        <v>131074</v>
      </c>
      <c r="G87" s="22"/>
      <c r="P87" s="16"/>
    </row>
    <row r="88" spans="2:16" x14ac:dyDescent="0.2">
      <c r="B88" s="17"/>
      <c r="F88" s="18"/>
      <c r="G88" s="16"/>
    </row>
    <row r="89" spans="2:16" x14ac:dyDescent="0.2">
      <c r="B89" s="16" t="s">
        <v>70</v>
      </c>
      <c r="C89" s="23"/>
      <c r="F89" s="18"/>
      <c r="G89" s="16"/>
    </row>
    <row r="90" spans="2:16" x14ac:dyDescent="0.2">
      <c r="B90" s="23" t="s">
        <v>58</v>
      </c>
      <c r="C90" s="23"/>
      <c r="F90" s="21">
        <v>16592</v>
      </c>
      <c r="G90"/>
      <c r="H90"/>
      <c r="I90"/>
      <c r="J90"/>
      <c r="K90"/>
      <c r="L90"/>
      <c r="M90"/>
      <c r="N90"/>
      <c r="O90"/>
    </row>
    <row r="91" spans="2:16" x14ac:dyDescent="0.2">
      <c r="B91" s="23" t="s">
        <v>62</v>
      </c>
      <c r="C91" s="23"/>
      <c r="F91" s="21">
        <v>448</v>
      </c>
      <c r="G91"/>
      <c r="H91"/>
      <c r="I91"/>
      <c r="J91"/>
      <c r="K91"/>
      <c r="L91"/>
      <c r="M91"/>
      <c r="N91"/>
      <c r="O91"/>
    </row>
    <row r="92" spans="2:16" x14ac:dyDescent="0.2">
      <c r="B92" s="16" t="s">
        <v>71</v>
      </c>
      <c r="C92" s="23"/>
      <c r="F92" s="22">
        <f>SUM(F90:F91)</f>
        <v>17040</v>
      </c>
      <c r="G92"/>
      <c r="H92"/>
      <c r="I92"/>
      <c r="J92"/>
      <c r="K92"/>
      <c r="L92"/>
      <c r="M92"/>
      <c r="N92"/>
      <c r="O92"/>
      <c r="P92" s="16"/>
    </row>
    <row r="93" spans="2:16" x14ac:dyDescent="0.2">
      <c r="B93" s="17"/>
      <c r="F93" s="18"/>
      <c r="G93"/>
      <c r="H93"/>
      <c r="I93"/>
      <c r="J93"/>
      <c r="K93"/>
      <c r="L93"/>
      <c r="M93"/>
      <c r="N93"/>
      <c r="O93"/>
      <c r="P93" s="18"/>
    </row>
    <row r="94" spans="2:16" x14ac:dyDescent="0.2">
      <c r="B94" s="23" t="s">
        <v>72</v>
      </c>
      <c r="C94" s="23"/>
      <c r="F94" s="21">
        <v>31977</v>
      </c>
      <c r="G94"/>
      <c r="H94"/>
      <c r="I94"/>
      <c r="J94"/>
      <c r="K94"/>
      <c r="L94"/>
      <c r="M94"/>
      <c r="N94"/>
      <c r="O94"/>
    </row>
    <row r="95" spans="2:16" x14ac:dyDescent="0.2">
      <c r="B95" s="23" t="s">
        <v>73</v>
      </c>
      <c r="C95" s="23"/>
      <c r="F95" s="21">
        <v>3526</v>
      </c>
      <c r="G95"/>
      <c r="H95"/>
      <c r="I95"/>
      <c r="J95"/>
      <c r="K95"/>
      <c r="L95"/>
      <c r="M95"/>
      <c r="N95"/>
      <c r="O95"/>
    </row>
    <row r="96" spans="2:16" x14ac:dyDescent="0.2">
      <c r="B96" s="16" t="s">
        <v>74</v>
      </c>
      <c r="C96" s="23"/>
      <c r="D96" s="23"/>
      <c r="E96" s="23"/>
      <c r="F96" s="22">
        <f>SUM(F92,F94:F95)</f>
        <v>52543</v>
      </c>
      <c r="G96"/>
      <c r="H96"/>
      <c r="I96"/>
      <c r="J96"/>
      <c r="K96"/>
      <c r="L96"/>
      <c r="M96"/>
      <c r="N96"/>
      <c r="O96"/>
      <c r="P96" s="16"/>
    </row>
    <row r="97" spans="1:16" x14ac:dyDescent="0.2">
      <c r="B97" s="17"/>
      <c r="F97" s="18"/>
      <c r="G97"/>
      <c r="H97"/>
      <c r="I97"/>
      <c r="J97"/>
      <c r="K97"/>
      <c r="L97"/>
      <c r="M97"/>
      <c r="N97"/>
      <c r="O97"/>
    </row>
    <row r="98" spans="1:16" x14ac:dyDescent="0.2">
      <c r="B98" s="23" t="s">
        <v>63</v>
      </c>
      <c r="C98" s="23"/>
      <c r="D98" s="23"/>
      <c r="F98" s="21">
        <v>48761</v>
      </c>
      <c r="G98"/>
      <c r="H98"/>
      <c r="I98"/>
      <c r="J98"/>
      <c r="K98"/>
      <c r="L98"/>
      <c r="M98"/>
      <c r="N98"/>
      <c r="O98"/>
    </row>
    <row r="99" spans="1:16" x14ac:dyDescent="0.2">
      <c r="B99" s="23" t="s">
        <v>10</v>
      </c>
      <c r="C99" s="23"/>
      <c r="D99" s="23"/>
      <c r="F99" s="21">
        <v>29770</v>
      </c>
      <c r="G99"/>
      <c r="H99"/>
      <c r="I99"/>
      <c r="J99"/>
      <c r="K99"/>
      <c r="L99"/>
      <c r="M99"/>
      <c r="N99"/>
      <c r="O99"/>
    </row>
    <row r="100" spans="1:16" x14ac:dyDescent="0.2">
      <c r="B100" s="16" t="s">
        <v>75</v>
      </c>
      <c r="C100" s="23"/>
      <c r="F100" s="22">
        <f>SUM(F98:F99)</f>
        <v>78531</v>
      </c>
      <c r="G100"/>
      <c r="H100"/>
      <c r="I100"/>
      <c r="J100"/>
      <c r="K100"/>
      <c r="L100"/>
      <c r="M100"/>
      <c r="N100"/>
      <c r="O100"/>
      <c r="P100" s="16"/>
    </row>
    <row r="101" spans="1:16" x14ac:dyDescent="0.2">
      <c r="B101" s="16" t="s">
        <v>76</v>
      </c>
      <c r="C101" s="23"/>
      <c r="F101" s="22">
        <f>SUM(F96,F100)</f>
        <v>131074</v>
      </c>
      <c r="G101"/>
      <c r="H101"/>
      <c r="I101"/>
      <c r="J101"/>
      <c r="K101"/>
      <c r="L101"/>
      <c r="M101"/>
      <c r="N101"/>
      <c r="O101"/>
      <c r="P101" s="16"/>
    </row>
    <row r="102" spans="1:16" x14ac:dyDescent="0.2">
      <c r="B102" s="17"/>
      <c r="F102" s="18"/>
      <c r="G102" s="16"/>
    </row>
    <row r="103" spans="1:16" s="23" customFormat="1" x14ac:dyDescent="0.2">
      <c r="B103" s="16" t="s">
        <v>77</v>
      </c>
      <c r="F103" s="22" t="str">
        <f>IF(F101=F87,"OK",F101-F87)</f>
        <v>OK</v>
      </c>
      <c r="G103" s="22"/>
      <c r="P103" s="22" t="str">
        <f>IF(P101=P87,"OK",P101-P87)</f>
        <v>OK</v>
      </c>
    </row>
    <row r="104" spans="1:16" x14ac:dyDescent="0.2">
      <c r="B104" s="17"/>
      <c r="F104" s="18"/>
      <c r="G104" s="17"/>
    </row>
    <row r="105" spans="1:16" s="23" customFormat="1" x14ac:dyDescent="0.2">
      <c r="A105" s="16" t="s">
        <v>40</v>
      </c>
    </row>
    <row r="107" spans="1:16" x14ac:dyDescent="0.2">
      <c r="B107" s="16" t="s">
        <v>10</v>
      </c>
    </row>
    <row r="108" spans="1:16" x14ac:dyDescent="0.2">
      <c r="B108" s="23" t="s">
        <v>43</v>
      </c>
    </row>
    <row r="109" spans="1:16" x14ac:dyDescent="0.2">
      <c r="B109" s="23" t="s">
        <v>44</v>
      </c>
    </row>
    <row r="110" spans="1:16" x14ac:dyDescent="0.2">
      <c r="B110" s="23" t="s">
        <v>45</v>
      </c>
    </row>
    <row r="111" spans="1:16" x14ac:dyDescent="0.2">
      <c r="A111" s="16"/>
      <c r="B111" s="16" t="s">
        <v>46</v>
      </c>
      <c r="C111" s="16"/>
      <c r="D111" s="16"/>
      <c r="E111" s="16"/>
      <c r="F111" s="16"/>
      <c r="G111" s="16"/>
      <c r="P111" s="16"/>
    </row>
    <row r="112" spans="1:16" x14ac:dyDescent="0.2">
      <c r="B112" s="19" t="s">
        <v>42</v>
      </c>
      <c r="C112" s="19"/>
      <c r="D112" s="19"/>
      <c r="E112" s="19"/>
      <c r="F112" s="19"/>
      <c r="G112" s="20"/>
      <c r="P112" s="20" t="str">
        <f>IF(P111=P99,"OK",P111-P99)</f>
        <v>OK</v>
      </c>
    </row>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0"/>
  <sheetViews>
    <sheetView showGridLines="0" zoomScaleNormal="100" workbookViewId="0">
      <pane ySplit="2" topLeftCell="A11" activePane="bottomLeft" state="frozen"/>
      <selection pane="bottomLeft"/>
    </sheetView>
  </sheetViews>
  <sheetFormatPr defaultColWidth="9.140625" defaultRowHeight="12.75" x14ac:dyDescent="0.2"/>
  <cols>
    <col min="1" max="1" width="1.7109375" style="47" customWidth="1"/>
    <col min="2" max="2" width="42.85546875" style="47" customWidth="1"/>
    <col min="3" max="3" width="46.28515625" style="47" customWidth="1"/>
    <col min="4"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v>
      </c>
      <c r="B2" s="12"/>
      <c r="C2" s="12"/>
      <c r="D2" s="13"/>
      <c r="E2" s="13"/>
      <c r="F2" s="13"/>
      <c r="G2" s="13"/>
      <c r="H2" s="13"/>
      <c r="I2" s="13"/>
      <c r="J2" s="13"/>
    </row>
    <row r="3" spans="1:10" ht="13.5" thickTop="1" x14ac:dyDescent="0.2"/>
    <row r="4" spans="1:10" x14ac:dyDescent="0.2">
      <c r="B4" s="48" t="s">
        <v>141</v>
      </c>
    </row>
    <row r="6" spans="1:10" x14ac:dyDescent="0.2">
      <c r="B6" s="49" t="s">
        <v>593</v>
      </c>
      <c r="C6" s="50"/>
    </row>
    <row r="7" spans="1:10" x14ac:dyDescent="0.2">
      <c r="B7" s="49" t="s">
        <v>595</v>
      </c>
      <c r="C7" s="50"/>
    </row>
    <row r="8" spans="1:10" x14ac:dyDescent="0.2">
      <c r="B8" s="49" t="s">
        <v>142</v>
      </c>
      <c r="C8" s="50"/>
    </row>
    <row r="11" spans="1:10" ht="15" x14ac:dyDescent="0.25">
      <c r="A11" s="51" t="s">
        <v>143</v>
      </c>
    </row>
    <row r="13" spans="1:10" x14ac:dyDescent="0.2">
      <c r="B13" s="49" t="s">
        <v>594</v>
      </c>
      <c r="C13" s="53"/>
    </row>
    <row r="14" spans="1:10" x14ac:dyDescent="0.2">
      <c r="B14" s="49" t="s">
        <v>595</v>
      </c>
      <c r="C14" s="53"/>
    </row>
    <row r="15" spans="1:10" x14ac:dyDescent="0.2">
      <c r="B15" s="52" t="s">
        <v>142</v>
      </c>
      <c r="C15" s="53"/>
    </row>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sheetData>
  <pageMargins left="0.75" right="0.75" top="1" bottom="1" header="0.5" footer="0.5"/>
  <pageSetup orientation="portrait" r:id="rId1"/>
  <headerFooter alignWithMargins="0">
    <oddFooter>&amp;L&amp;8© AMT Training 2008 - 2016</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30"/>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42.855468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#2</v>
      </c>
      <c r="B2" s="12"/>
      <c r="C2" s="12"/>
      <c r="D2" s="13"/>
      <c r="E2" s="13"/>
      <c r="F2" s="13"/>
      <c r="G2" s="13"/>
      <c r="H2" s="13"/>
      <c r="I2" s="13"/>
      <c r="J2" s="13"/>
    </row>
    <row r="3" spans="1:10" ht="13.5" thickTop="1" x14ac:dyDescent="0.2"/>
    <row r="4" spans="1:10" x14ac:dyDescent="0.2">
      <c r="B4" s="48" t="s">
        <v>144</v>
      </c>
    </row>
    <row r="6" spans="1:10" x14ac:dyDescent="0.2">
      <c r="B6" s="50"/>
    </row>
    <row r="7" spans="1:10" x14ac:dyDescent="0.2">
      <c r="B7" s="50"/>
    </row>
    <row r="10" spans="1:10" ht="15" x14ac:dyDescent="0.25">
      <c r="A10" s="51" t="s">
        <v>143</v>
      </c>
    </row>
    <row r="12" spans="1:10" x14ac:dyDescent="0.2">
      <c r="B12" s="49"/>
    </row>
    <row r="13" spans="1:10" x14ac:dyDescent="0.2">
      <c r="B13" s="49"/>
    </row>
    <row r="14" spans="1:10" x14ac:dyDescent="0.2">
      <c r="B14" s="49"/>
    </row>
    <row r="15" spans="1:10" customFormat="1" x14ac:dyDescent="0.2"/>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sheetData>
  <pageMargins left="0.75" right="0.75" top="1" bottom="1" header="0.5" footer="0.5"/>
  <pageSetup orientation="portrait" r:id="rId1"/>
  <headerFooter alignWithMargins="0">
    <oddFooter>&amp;L&amp;8© AMT Training 2008 - 2016</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89"/>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69.71093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#3</v>
      </c>
      <c r="B2" s="12"/>
      <c r="C2" s="12"/>
      <c r="D2" s="13"/>
      <c r="E2" s="13"/>
      <c r="F2" s="13"/>
      <c r="G2" s="13"/>
      <c r="H2" s="13"/>
      <c r="I2" s="13"/>
      <c r="J2" s="13"/>
    </row>
    <row r="3" spans="1:10" ht="13.5" thickTop="1" x14ac:dyDescent="0.2"/>
    <row r="4" spans="1:10" x14ac:dyDescent="0.2">
      <c r="B4" s="48" t="s">
        <v>145</v>
      </c>
    </row>
    <row r="5" spans="1:10" x14ac:dyDescent="0.2">
      <c r="B5" s="48" t="s">
        <v>146</v>
      </c>
    </row>
    <row r="6" spans="1:10" x14ac:dyDescent="0.2">
      <c r="B6" s="48" t="s">
        <v>147</v>
      </c>
    </row>
    <row r="8" spans="1:10" x14ac:dyDescent="0.2">
      <c r="B8" s="54"/>
    </row>
    <row r="9" spans="1:10" x14ac:dyDescent="0.2">
      <c r="B9" s="55"/>
    </row>
    <row r="10" spans="1:10" x14ac:dyDescent="0.2">
      <c r="B10" s="56"/>
    </row>
    <row r="13" spans="1:10" ht="15" x14ac:dyDescent="0.25">
      <c r="A13" s="51" t="s">
        <v>143</v>
      </c>
    </row>
    <row r="15" spans="1:10" x14ac:dyDescent="0.2">
      <c r="B15" s="53"/>
    </row>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sheetData>
  <pageMargins left="0.75" right="0.75" top="1" bottom="1" header="0.5" footer="0.5"/>
  <pageSetup orientation="portrait" r:id="rId1"/>
  <headerFooter alignWithMargins="0">
    <oddFooter>&amp;L&amp;8© AMT Training 2008 - 2016</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18"/>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93.855468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#4</v>
      </c>
      <c r="B2" s="12"/>
      <c r="C2" s="12"/>
      <c r="D2" s="13"/>
      <c r="E2" s="13"/>
      <c r="F2" s="13"/>
      <c r="G2" s="13"/>
      <c r="H2" s="13"/>
      <c r="I2" s="13"/>
      <c r="J2" s="13"/>
    </row>
    <row r="3" spans="1:10" ht="13.5" thickTop="1" x14ac:dyDescent="0.2"/>
    <row r="4" spans="1:10" x14ac:dyDescent="0.2">
      <c r="B4" s="48" t="s">
        <v>148</v>
      </c>
    </row>
    <row r="5" spans="1:10" x14ac:dyDescent="0.2">
      <c r="B5" s="48" t="s">
        <v>149</v>
      </c>
    </row>
    <row r="6" spans="1:10" x14ac:dyDescent="0.2">
      <c r="B6" s="48" t="s">
        <v>150</v>
      </c>
    </row>
    <row r="8" spans="1:10" x14ac:dyDescent="0.2">
      <c r="B8" s="54"/>
    </row>
    <row r="9" spans="1:10" x14ac:dyDescent="0.2">
      <c r="B9" s="55"/>
    </row>
    <row r="10" spans="1:10" x14ac:dyDescent="0.2">
      <c r="B10" s="56"/>
    </row>
    <row r="13" spans="1:10" ht="15" x14ac:dyDescent="0.25">
      <c r="A13" s="51" t="s">
        <v>143</v>
      </c>
    </row>
    <row r="15" spans="1:10" x14ac:dyDescent="0.2">
      <c r="B15" s="53"/>
    </row>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sheetData>
  <pageMargins left="0.75" right="0.75" top="1" bottom="1" header="0.5" footer="0.5"/>
  <pageSetup orientation="portrait" r:id="rId1"/>
  <headerFooter alignWithMargins="0">
    <oddFooter>&amp;L&amp;8© AMT Training 2008 - 2016</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14"/>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70.71093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#5</v>
      </c>
      <c r="B2" s="12"/>
      <c r="C2" s="12"/>
      <c r="D2" s="13"/>
      <c r="E2" s="13"/>
      <c r="F2" s="13"/>
      <c r="G2" s="13"/>
      <c r="H2" s="13"/>
      <c r="I2" s="13"/>
      <c r="J2" s="13"/>
    </row>
    <row r="3" spans="1:10" ht="13.5" thickTop="1" x14ac:dyDescent="0.2"/>
    <row r="4" spans="1:10" x14ac:dyDescent="0.2">
      <c r="B4" s="48" t="s">
        <v>151</v>
      </c>
    </row>
    <row r="6" spans="1:10" x14ac:dyDescent="0.2">
      <c r="B6" s="50"/>
    </row>
    <row r="9" spans="1:10" ht="15" x14ac:dyDescent="0.25">
      <c r="A9" s="51" t="s">
        <v>143</v>
      </c>
    </row>
    <row r="11" spans="1:10" x14ac:dyDescent="0.2">
      <c r="B11" s="49"/>
    </row>
    <row r="12" spans="1:10" customFormat="1" x14ac:dyDescent="0.2"/>
    <row r="13" spans="1:10" customFormat="1" x14ac:dyDescent="0.2"/>
    <row r="14" spans="1:10" customFormat="1" x14ac:dyDescent="0.2"/>
    <row r="15" spans="1:10" customFormat="1" x14ac:dyDescent="0.2"/>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sheetData>
  <pageMargins left="0.75" right="0.75" top="1" bottom="1" header="0.5" footer="0.5"/>
  <pageSetup orientation="portrait" r:id="rId1"/>
  <headerFooter alignWithMargins="0">
    <oddFooter>&amp;L&amp;8© AMT Training 2008 - 2016</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86"/>
  <sheetViews>
    <sheetView showGridLines="0" zoomScaleNormal="100" workbookViewId="0">
      <pane ySplit="2" topLeftCell="A89" activePane="bottomLeft" state="frozen"/>
      <selection pane="bottomLeft" sqref="A1:A89"/>
    </sheetView>
  </sheetViews>
  <sheetFormatPr defaultColWidth="9.140625" defaultRowHeight="12.75" x14ac:dyDescent="0.2"/>
  <cols>
    <col min="1" max="1" width="1.7109375" style="47" customWidth="1"/>
    <col min="2" max="2" width="68.570312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#6</v>
      </c>
      <c r="B2" s="12"/>
      <c r="C2" s="12"/>
      <c r="D2" s="13"/>
      <c r="E2" s="13"/>
      <c r="F2" s="13"/>
      <c r="G2" s="13"/>
      <c r="H2" s="13"/>
      <c r="I2" s="13"/>
      <c r="J2" s="13"/>
    </row>
    <row r="3" spans="1:10" ht="13.5" thickTop="1" x14ac:dyDescent="0.2"/>
    <row r="5" spans="1:10" x14ac:dyDescent="0.2">
      <c r="B5" s="48" t="s">
        <v>152</v>
      </c>
    </row>
    <row r="7" spans="1:10" x14ac:dyDescent="0.2">
      <c r="B7" s="50"/>
    </row>
    <row r="10" spans="1:10" ht="15" x14ac:dyDescent="0.25">
      <c r="A10" s="51" t="s">
        <v>143</v>
      </c>
    </row>
    <row r="12" spans="1:10" x14ac:dyDescent="0.2">
      <c r="B12" s="53"/>
    </row>
    <row r="13" spans="1:10" customFormat="1" x14ac:dyDescent="0.2"/>
    <row r="14" spans="1:10" customFormat="1" x14ac:dyDescent="0.2"/>
    <row r="15" spans="1:10" customFormat="1" x14ac:dyDescent="0.2"/>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sheetData>
  <pageMargins left="0.75" right="0.75" top="1" bottom="1" header="0.5" footer="0.5"/>
  <pageSetup orientation="portrait" r:id="rId1"/>
  <headerFooter alignWithMargins="0">
    <oddFooter>&amp;L&amp;8© AMT Training 2008 - 2016</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55"/>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69.570312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#7</v>
      </c>
      <c r="B2" s="12"/>
      <c r="C2" s="12"/>
      <c r="D2" s="13"/>
      <c r="E2" s="13"/>
      <c r="F2" s="13"/>
      <c r="G2" s="13"/>
      <c r="H2" s="13"/>
      <c r="I2" s="13"/>
      <c r="J2" s="13"/>
    </row>
    <row r="3" spans="1:10" ht="13.5" thickTop="1" x14ac:dyDescent="0.2"/>
    <row r="4" spans="1:10" x14ac:dyDescent="0.2">
      <c r="B4" s="48" t="s">
        <v>153</v>
      </c>
    </row>
    <row r="6" spans="1:10" x14ac:dyDescent="0.2">
      <c r="B6" s="50"/>
    </row>
    <row r="8" spans="1:10" ht="15" x14ac:dyDescent="0.25">
      <c r="A8" s="51" t="s">
        <v>143</v>
      </c>
    </row>
    <row r="10" spans="1:10" x14ac:dyDescent="0.2">
      <c r="B10" s="53"/>
    </row>
    <row r="11" spans="1:10" customFormat="1" x14ac:dyDescent="0.2"/>
    <row r="12" spans="1:10" customFormat="1" x14ac:dyDescent="0.2"/>
    <row r="13" spans="1:10" customFormat="1" x14ac:dyDescent="0.2"/>
    <row r="14" spans="1:10" customFormat="1" x14ac:dyDescent="0.2"/>
    <row r="15" spans="1:10" customFormat="1" x14ac:dyDescent="0.2"/>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sheetData>
  <pageMargins left="0.75" right="0.75" top="1" bottom="1" header="0.5" footer="0.5"/>
  <pageSetup orientation="portrait" r:id="rId1"/>
  <headerFooter alignWithMargins="0">
    <oddFooter>&amp;L&amp;8© AMT Training 2008 - 2016</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140"/>
  <sheetViews>
    <sheetView showGridLines="0" zoomScaleNormal="100" workbookViewId="0">
      <pane ySplit="2" topLeftCell="A3" activePane="bottomLeft" state="frozen"/>
      <selection pane="bottomLeft" activeCell="B30" sqref="B30"/>
    </sheetView>
  </sheetViews>
  <sheetFormatPr defaultColWidth="9.140625" defaultRowHeight="12.75" x14ac:dyDescent="0.2"/>
  <cols>
    <col min="1" max="1" width="1.7109375" style="47" customWidth="1"/>
    <col min="2" max="2" width="42.855468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#8</v>
      </c>
      <c r="B2" s="12"/>
      <c r="C2" s="12"/>
      <c r="D2" s="13"/>
      <c r="E2" s="13"/>
      <c r="F2" s="13"/>
      <c r="G2" s="13"/>
      <c r="H2" s="13"/>
      <c r="I2" s="13"/>
      <c r="J2" s="13"/>
    </row>
    <row r="3" spans="1:10" ht="13.5" thickTop="1" x14ac:dyDescent="0.2"/>
    <row r="4" spans="1:10" x14ac:dyDescent="0.2">
      <c r="B4" t="s">
        <v>154</v>
      </c>
    </row>
    <row r="6" spans="1:10" x14ac:dyDescent="0.2">
      <c r="B6" s="28" t="s">
        <v>155</v>
      </c>
    </row>
    <row r="7" spans="1:10" x14ac:dyDescent="0.2">
      <c r="B7" t="s">
        <v>65</v>
      </c>
      <c r="E7" s="39">
        <v>200890</v>
      </c>
    </row>
    <row r="8" spans="1:10" ht="15" x14ac:dyDescent="0.25">
      <c r="A8" s="51"/>
      <c r="B8" t="s">
        <v>26</v>
      </c>
      <c r="E8" s="39">
        <v>130000</v>
      </c>
    </row>
    <row r="9" spans="1:10" s="57" customFormat="1" x14ac:dyDescent="0.2">
      <c r="A9" s="47"/>
      <c r="B9" s="28" t="s">
        <v>27</v>
      </c>
      <c r="E9" s="57">
        <f>E7-E8</f>
        <v>70890</v>
      </c>
    </row>
    <row r="10" spans="1:10" x14ac:dyDescent="0.2">
      <c r="B10" t="s">
        <v>66</v>
      </c>
      <c r="E10" s="39">
        <v>59890</v>
      </c>
    </row>
    <row r="11" spans="1:10" s="57" customFormat="1" x14ac:dyDescent="0.2">
      <c r="A11" s="47"/>
      <c r="B11" s="28" t="s">
        <v>29</v>
      </c>
      <c r="E11" s="57">
        <f>E9-E10</f>
        <v>11000</v>
      </c>
    </row>
    <row r="12" spans="1:10" x14ac:dyDescent="0.2">
      <c r="B12" t="s">
        <v>30</v>
      </c>
      <c r="E12" s="39">
        <v>3837</v>
      </c>
    </row>
    <row r="13" spans="1:10" s="57" customFormat="1" x14ac:dyDescent="0.2">
      <c r="A13" s="47"/>
      <c r="B13" s="28" t="s">
        <v>31</v>
      </c>
      <c r="E13" s="57">
        <f>E11-E12</f>
        <v>7163</v>
      </c>
    </row>
    <row r="14" spans="1:10" x14ac:dyDescent="0.2">
      <c r="B14" t="s">
        <v>32</v>
      </c>
      <c r="E14" s="39">
        <v>3851</v>
      </c>
    </row>
    <row r="15" spans="1:10" s="57" customFormat="1" x14ac:dyDescent="0.2">
      <c r="A15" s="47"/>
      <c r="B15" s="28" t="s">
        <v>33</v>
      </c>
      <c r="E15" s="57">
        <f>E13-E14</f>
        <v>3312</v>
      </c>
    </row>
    <row r="16" spans="1:10" x14ac:dyDescent="0.2">
      <c r="B16"/>
    </row>
    <row r="17" spans="1:5" x14ac:dyDescent="0.2">
      <c r="B17" s="28" t="s">
        <v>156</v>
      </c>
    </row>
    <row r="18" spans="1:5" x14ac:dyDescent="0.2">
      <c r="B18" t="s">
        <v>157</v>
      </c>
      <c r="E18" s="24">
        <v>66773</v>
      </c>
    </row>
    <row r="19" spans="1:5" x14ac:dyDescent="0.2">
      <c r="B19" t="s">
        <v>158</v>
      </c>
      <c r="E19" s="24">
        <v>2300</v>
      </c>
    </row>
    <row r="20" spans="1:5" x14ac:dyDescent="0.2">
      <c r="B20" t="s">
        <v>159</v>
      </c>
      <c r="E20" s="24">
        <v>31900</v>
      </c>
    </row>
    <row r="21" spans="1:5" x14ac:dyDescent="0.2">
      <c r="B21" t="s">
        <v>160</v>
      </c>
      <c r="E21" s="58">
        <v>0.36</v>
      </c>
    </row>
    <row r="22" spans="1:5" x14ac:dyDescent="0.2">
      <c r="B22"/>
    </row>
    <row r="23" spans="1:5" x14ac:dyDescent="0.2">
      <c r="B23"/>
    </row>
    <row r="24" spans="1:5" customFormat="1" x14ac:dyDescent="0.2">
      <c r="A24" s="47" t="s">
        <v>143</v>
      </c>
    </row>
    <row r="25" spans="1:5" customFormat="1" x14ac:dyDescent="0.2">
      <c r="E25">
        <f>E11-E19</f>
        <v>8700</v>
      </c>
    </row>
    <row r="26" spans="1:5" customFormat="1" x14ac:dyDescent="0.2">
      <c r="E26">
        <f>E10-31900</f>
        <v>27990</v>
      </c>
    </row>
    <row r="27" spans="1:5" customFormat="1" ht="13.5" thickBot="1" x14ac:dyDescent="0.25"/>
    <row r="28" spans="1:5" customFormat="1" x14ac:dyDescent="0.2">
      <c r="D28" s="128" t="s">
        <v>623</v>
      </c>
      <c r="E28" s="129">
        <f>E9-E26</f>
        <v>42900</v>
      </c>
    </row>
    <row r="29" spans="1:5" customFormat="1" ht="13.5" thickBot="1" x14ac:dyDescent="0.25">
      <c r="D29" s="130" t="s">
        <v>624</v>
      </c>
      <c r="E29" s="131">
        <f>E28+E18</f>
        <v>109673</v>
      </c>
    </row>
    <row r="30" spans="1:5" customFormat="1" x14ac:dyDescent="0.2"/>
    <row r="31" spans="1:5" customFormat="1" x14ac:dyDescent="0.2"/>
    <row r="32" spans="1:5"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sheetData>
  <pageMargins left="0.75" right="0.75" top="1" bottom="1" header="0.5" footer="0.5"/>
  <pageSetup orientation="portrait" r:id="rId1"/>
  <headerFooter alignWithMargins="0">
    <oddFooter>&amp;L&amp;8© AMT Training 2008 - 2016</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69"/>
  <sheetViews>
    <sheetView showGridLines="0" zoomScaleNormal="100" workbookViewId="0">
      <pane ySplit="2" topLeftCell="A3" activePane="bottomLeft" state="frozen"/>
      <selection pane="bottomLeft" activeCell="C30" sqref="C30"/>
    </sheetView>
  </sheetViews>
  <sheetFormatPr defaultColWidth="9.140625" defaultRowHeight="12.75" x14ac:dyDescent="0.2"/>
  <cols>
    <col min="1" max="1" width="1.7109375" style="47" customWidth="1"/>
    <col min="2" max="2" width="48.71093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#9</v>
      </c>
      <c r="B2" s="12"/>
      <c r="C2" s="12"/>
      <c r="D2" s="13"/>
      <c r="E2" s="13"/>
      <c r="F2" s="13"/>
      <c r="G2" s="13"/>
      <c r="H2" s="13"/>
      <c r="I2" s="13"/>
      <c r="J2" s="13"/>
    </row>
    <row r="3" spans="1:10" ht="13.5" thickTop="1" x14ac:dyDescent="0.2"/>
    <row r="4" spans="1:10" x14ac:dyDescent="0.2">
      <c r="B4" s="48" t="s">
        <v>618</v>
      </c>
    </row>
    <row r="5" spans="1:10" x14ac:dyDescent="0.2">
      <c r="B5" s="48" t="s">
        <v>161</v>
      </c>
    </row>
    <row r="7" spans="1:10" x14ac:dyDescent="0.2">
      <c r="B7" s="59" t="s">
        <v>162</v>
      </c>
      <c r="C7" s="60">
        <v>7560191</v>
      </c>
    </row>
    <row r="8" spans="1:10" x14ac:dyDescent="0.2">
      <c r="B8" s="48" t="s">
        <v>163</v>
      </c>
      <c r="C8" s="47">
        <v>147802</v>
      </c>
    </row>
    <row r="9" spans="1:10" x14ac:dyDescent="0.2">
      <c r="B9" s="60"/>
      <c r="C9" s="61">
        <f>SUM(C7:C8)</f>
        <v>7707993</v>
      </c>
    </row>
    <row r="10" spans="1:10" x14ac:dyDescent="0.2">
      <c r="B10" s="48" t="s">
        <v>164</v>
      </c>
    </row>
    <row r="11" spans="1:10" x14ac:dyDescent="0.2">
      <c r="B11" s="59" t="s">
        <v>165</v>
      </c>
      <c r="C11" s="60">
        <v>5014021</v>
      </c>
    </row>
    <row r="12" spans="1:10" x14ac:dyDescent="0.2">
      <c r="B12" s="48" t="s">
        <v>166</v>
      </c>
      <c r="C12" s="47">
        <v>2041481</v>
      </c>
    </row>
    <row r="13" spans="1:10" x14ac:dyDescent="0.2">
      <c r="B13" s="59" t="s">
        <v>167</v>
      </c>
      <c r="C13" s="60">
        <v>301864</v>
      </c>
    </row>
    <row r="14" spans="1:10" x14ac:dyDescent="0.2">
      <c r="B14" s="48" t="s">
        <v>168</v>
      </c>
      <c r="C14" s="47">
        <v>47538</v>
      </c>
    </row>
    <row r="15" spans="1:10" x14ac:dyDescent="0.2">
      <c r="B15" s="59" t="s">
        <v>169</v>
      </c>
      <c r="C15" s="60">
        <v>105570</v>
      </c>
    </row>
    <row r="16" spans="1:10" x14ac:dyDescent="0.2">
      <c r="B16" s="48" t="s">
        <v>170</v>
      </c>
      <c r="C16" s="47">
        <v>61734</v>
      </c>
    </row>
    <row r="17" spans="1:4" x14ac:dyDescent="0.2">
      <c r="B17" s="59" t="s">
        <v>171</v>
      </c>
      <c r="C17" s="61">
        <f>SUM(C11:C16)</f>
        <v>7572208</v>
      </c>
    </row>
    <row r="18" spans="1:4" x14ac:dyDescent="0.2">
      <c r="B18" s="48" t="s">
        <v>172</v>
      </c>
      <c r="C18" s="47">
        <f>C9-C17</f>
        <v>135785</v>
      </c>
    </row>
    <row r="19" spans="1:4" x14ac:dyDescent="0.2">
      <c r="B19" s="59" t="s">
        <v>173</v>
      </c>
      <c r="C19" s="60">
        <v>14300</v>
      </c>
      <c r="D19" s="62"/>
    </row>
    <row r="20" spans="1:4" x14ac:dyDescent="0.2">
      <c r="B20" s="48" t="s">
        <v>174</v>
      </c>
      <c r="C20" s="63">
        <f>C18-C19</f>
        <v>121485</v>
      </c>
    </row>
    <row r="23" spans="1:4" customFormat="1" ht="15" x14ac:dyDescent="0.25">
      <c r="A23" s="51" t="s">
        <v>143</v>
      </c>
    </row>
    <row r="24" spans="1:4" customFormat="1" x14ac:dyDescent="0.2"/>
    <row r="25" spans="1:4" customFormat="1" x14ac:dyDescent="0.2">
      <c r="B25" t="s">
        <v>625</v>
      </c>
      <c r="C25">
        <f>C7</f>
        <v>7560191</v>
      </c>
    </row>
    <row r="26" spans="1:4" customFormat="1" x14ac:dyDescent="0.2">
      <c r="B26" t="s">
        <v>626</v>
      </c>
      <c r="C26">
        <f>C17</f>
        <v>7572208</v>
      </c>
    </row>
    <row r="27" spans="1:4" customFormat="1" x14ac:dyDescent="0.2">
      <c r="B27" t="s">
        <v>627</v>
      </c>
      <c r="C27">
        <f>C16</f>
        <v>61734</v>
      </c>
    </row>
    <row r="28" spans="1:4" customFormat="1" x14ac:dyDescent="0.2">
      <c r="B28" t="s">
        <v>629</v>
      </c>
      <c r="C28">
        <f>C15</f>
        <v>105570</v>
      </c>
    </row>
    <row r="29" spans="1:4" customFormat="1" x14ac:dyDescent="0.2">
      <c r="B29" t="s">
        <v>628</v>
      </c>
      <c r="C29">
        <f>C26-C27-C28</f>
        <v>7404904</v>
      </c>
    </row>
    <row r="30" spans="1:4" customFormat="1" ht="13.5" thickBot="1" x14ac:dyDescent="0.25"/>
    <row r="31" spans="1:4" customFormat="1" x14ac:dyDescent="0.2">
      <c r="B31" s="132" t="s">
        <v>623</v>
      </c>
      <c r="C31" s="133">
        <f>C25-C29</f>
        <v>155287</v>
      </c>
    </row>
    <row r="32" spans="1:4" customFormat="1" ht="13.5" thickBot="1" x14ac:dyDescent="0.25">
      <c r="B32" s="134" t="s">
        <v>624</v>
      </c>
      <c r="C32" s="135">
        <f>C31+C13</f>
        <v>457151</v>
      </c>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sheetData>
  <pageMargins left="0.75" right="0.75" top="1" bottom="1" header="0.5" footer="0.5"/>
  <pageSetup orientation="portrait" r:id="rId1"/>
  <headerFooter alignWithMargins="0">
    <oddFooter>&amp;L&amp;8© AMT Training 2008 - 2016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8"/>
  <sheetViews>
    <sheetView showGridLines="0" zoomScaleNormal="100" workbookViewId="0">
      <pane ySplit="2" topLeftCell="A3" activePane="bottomLeft" state="frozen"/>
      <selection pane="bottomLeft" activeCell="C14" sqref="C14"/>
    </sheetView>
  </sheetViews>
  <sheetFormatPr defaultColWidth="9.28515625" defaultRowHeight="12.75" x14ac:dyDescent="0.2"/>
  <cols>
    <col min="1" max="1" width="1.7109375" style="14" customWidth="1"/>
    <col min="2" max="2" width="9.7109375" style="14" bestFit="1" customWidth="1"/>
    <col min="3" max="3" width="10.7109375" style="14" bestFit="1" customWidth="1"/>
    <col min="4" max="4" width="10.28515625" style="14" bestFit="1" customWidth="1"/>
    <col min="5" max="5" width="9.28515625" style="14"/>
    <col min="6" max="6" width="17.28515625" style="14" bestFit="1" customWidth="1"/>
    <col min="7" max="7" width="10.28515625" style="14" bestFit="1" customWidth="1"/>
    <col min="8" max="9" width="9.5703125" style="14" bestFit="1" customWidth="1"/>
    <col min="10" max="11" width="9.28515625" style="14"/>
    <col min="12" max="12" width="9.5703125" style="14" bestFit="1" customWidth="1"/>
    <col min="13" max="13" width="10.28515625" style="14" bestFit="1" customWidth="1"/>
    <col min="14" max="14" width="9.5703125" style="14" bestFit="1" customWidth="1"/>
    <col min="15" max="15" width="9.28515625" style="14"/>
    <col min="16" max="16" width="9.5703125" style="14" bestFit="1" customWidth="1"/>
    <col min="17" max="17" width="9.28515625" style="14"/>
    <col min="18" max="18" width="9.5703125" style="14" bestFit="1" customWidth="1"/>
    <col min="19" max="19" width="10.28515625" style="14" bestFit="1" customWidth="1"/>
    <col min="20" max="16384" width="9.28515625" style="14"/>
  </cols>
  <sheetData>
    <row r="1" spans="1:10" ht="30" x14ac:dyDescent="0.45">
      <c r="A1" s="9" t="str">
        <f>CoName</f>
        <v>Accounting fundamentals</v>
      </c>
      <c r="B1" s="10"/>
      <c r="C1" s="10"/>
      <c r="D1" s="11"/>
      <c r="E1" s="11"/>
      <c r="F1" s="11"/>
      <c r="G1" s="11"/>
      <c r="H1" s="11"/>
      <c r="I1" s="11"/>
      <c r="J1" s="11"/>
    </row>
    <row r="2" spans="1:10" ht="19.5" thickBot="1" x14ac:dyDescent="0.35">
      <c r="A2" s="5" t="str">
        <f ca="1">"Question AF #"&amp;RIGHT(CELL("filename",$A$1),LEN(CELL("filename",$A$1))-FIND("]",CELL("filename",$A$1))-4)</f>
        <v>Question AF #1</v>
      </c>
      <c r="B2" s="12"/>
      <c r="C2" s="12"/>
      <c r="D2" s="13"/>
      <c r="E2" s="13"/>
      <c r="F2" s="13"/>
      <c r="G2" s="13"/>
      <c r="H2" s="13"/>
      <c r="I2" s="13"/>
      <c r="J2" s="13"/>
    </row>
    <row r="3" spans="1:10" ht="13.5" thickTop="1" x14ac:dyDescent="0.2"/>
    <row r="4" spans="1:10" s="16" customFormat="1" x14ac:dyDescent="0.2">
      <c r="B4" s="23" t="s">
        <v>90</v>
      </c>
    </row>
    <row r="6" spans="1:10" x14ac:dyDescent="0.2">
      <c r="C6" s="14" t="s">
        <v>82</v>
      </c>
      <c r="D6" s="14" t="s">
        <v>94</v>
      </c>
    </row>
    <row r="7" spans="1:10" x14ac:dyDescent="0.2">
      <c r="C7" s="14" t="s">
        <v>83</v>
      </c>
      <c r="D7" s="14" t="s">
        <v>95</v>
      </c>
    </row>
    <row r="8" spans="1:10" x14ac:dyDescent="0.2">
      <c r="C8" s="14" t="s">
        <v>84</v>
      </c>
      <c r="D8" s="14" t="s">
        <v>96</v>
      </c>
    </row>
    <row r="9" spans="1:10" customFormat="1" x14ac:dyDescent="0.2">
      <c r="C9" s="14" t="s">
        <v>85</v>
      </c>
      <c r="D9" s="14" t="s">
        <v>97</v>
      </c>
      <c r="E9" s="14"/>
      <c r="F9" s="14"/>
    </row>
    <row r="10" spans="1:10" customFormat="1" x14ac:dyDescent="0.2">
      <c r="C10" s="14"/>
      <c r="D10" s="14"/>
      <c r="E10" s="14"/>
      <c r="F10" s="14"/>
    </row>
    <row r="11" spans="1:10" customFormat="1" x14ac:dyDescent="0.2">
      <c r="C11" s="14"/>
      <c r="D11" s="14"/>
      <c r="E11" s="14"/>
      <c r="F11" s="14"/>
    </row>
    <row r="12" spans="1:10" customFormat="1" x14ac:dyDescent="0.2">
      <c r="B12" s="28" t="s">
        <v>89</v>
      </c>
      <c r="C12" s="14"/>
      <c r="D12" s="14"/>
      <c r="E12" s="14"/>
      <c r="F12" s="14"/>
    </row>
    <row r="13" spans="1:10" customFormat="1" x14ac:dyDescent="0.2">
      <c r="C13" s="127" t="s">
        <v>84</v>
      </c>
      <c r="D13" s="14"/>
      <c r="E13" s="14"/>
      <c r="F13" s="14"/>
    </row>
    <row r="14" spans="1:10" customFormat="1" x14ac:dyDescent="0.2"/>
    <row r="15" spans="1:10" customFormat="1" x14ac:dyDescent="0.2"/>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sheetData>
  <pageMargins left="0.75" right="0.75" top="1" bottom="1" header="0.5" footer="0.5"/>
  <pageSetup orientation="portrait" r:id="rId1"/>
  <headerFooter alignWithMargins="0">
    <oddFooter>&amp;L&amp;8© AMT Training 2008 - 2016</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191"/>
  <sheetViews>
    <sheetView showGridLines="0" zoomScaleNormal="100" workbookViewId="0">
      <pane ySplit="2" topLeftCell="A3" activePane="bottomLeft" state="frozen"/>
      <selection pane="bottomLeft" activeCell="C46" sqref="C46:D47"/>
    </sheetView>
  </sheetViews>
  <sheetFormatPr defaultColWidth="9.140625" defaultRowHeight="12.75" x14ac:dyDescent="0.2"/>
  <cols>
    <col min="1" max="1" width="1.7109375" style="47" customWidth="1"/>
    <col min="2" max="2" width="52.85546875" style="47" customWidth="1"/>
    <col min="3" max="3" width="19.7109375" style="47" customWidth="1"/>
    <col min="4"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#10</v>
      </c>
      <c r="B2" s="12"/>
      <c r="C2" s="12"/>
      <c r="D2" s="13"/>
      <c r="E2" s="13"/>
      <c r="F2" s="13"/>
      <c r="G2" s="13"/>
      <c r="H2" s="13"/>
      <c r="I2" s="13"/>
      <c r="J2" s="13"/>
    </row>
    <row r="3" spans="1:10" ht="13.5" thickTop="1" x14ac:dyDescent="0.2"/>
    <row r="4" spans="1:10" x14ac:dyDescent="0.2">
      <c r="B4" s="48" t="s">
        <v>596</v>
      </c>
    </row>
    <row r="6" spans="1:10" x14ac:dyDescent="0.2">
      <c r="B6" s="59" t="s">
        <v>175</v>
      </c>
      <c r="C6" s="60">
        <v>55908</v>
      </c>
    </row>
    <row r="7" spans="1:10" x14ac:dyDescent="0.2">
      <c r="B7" s="48" t="s">
        <v>176</v>
      </c>
      <c r="C7" s="47">
        <v>45958</v>
      </c>
    </row>
    <row r="8" spans="1:10" x14ac:dyDescent="0.2">
      <c r="B8" s="59" t="s">
        <v>177</v>
      </c>
      <c r="C8" s="61">
        <f>C6-C7</f>
        <v>9950</v>
      </c>
    </row>
    <row r="9" spans="1:10" x14ac:dyDescent="0.2">
      <c r="B9" s="48" t="s">
        <v>178</v>
      </c>
    </row>
    <row r="10" spans="1:10" x14ac:dyDescent="0.2">
      <c r="B10" s="59" t="s">
        <v>179</v>
      </c>
      <c r="C10" s="60">
        <v>5140</v>
      </c>
    </row>
    <row r="11" spans="1:10" x14ac:dyDescent="0.2">
      <c r="B11" s="48" t="s">
        <v>180</v>
      </c>
      <c r="C11" s="47">
        <v>463</v>
      </c>
    </row>
    <row r="12" spans="1:10" x14ac:dyDescent="0.2">
      <c r="B12" s="59" t="s">
        <v>181</v>
      </c>
      <c r="C12" s="61">
        <f>SUM(C10:C11)</f>
        <v>5603</v>
      </c>
    </row>
    <row r="13" spans="1:10" x14ac:dyDescent="0.2">
      <c r="B13" s="48" t="s">
        <v>182</v>
      </c>
      <c r="C13" s="47">
        <f>C8-C12</f>
        <v>4347</v>
      </c>
    </row>
    <row r="14" spans="1:10" x14ac:dyDescent="0.2">
      <c r="B14" s="59" t="s">
        <v>183</v>
      </c>
      <c r="C14" s="64">
        <v>227</v>
      </c>
    </row>
    <row r="15" spans="1:10" x14ac:dyDescent="0.2">
      <c r="B15" s="48" t="s">
        <v>184</v>
      </c>
      <c r="C15" s="47">
        <f>C13+C14</f>
        <v>4574</v>
      </c>
    </row>
    <row r="16" spans="1:10" x14ac:dyDescent="0.2">
      <c r="B16" s="59" t="s">
        <v>185</v>
      </c>
      <c r="C16" s="60">
        <v>1002</v>
      </c>
    </row>
    <row r="17" spans="2:3" x14ac:dyDescent="0.2">
      <c r="B17" s="48" t="s">
        <v>186</v>
      </c>
      <c r="C17" s="63">
        <f>C15-C16</f>
        <v>3572</v>
      </c>
    </row>
    <row r="19" spans="2:3" x14ac:dyDescent="0.2">
      <c r="B19" s="65" t="s">
        <v>187</v>
      </c>
      <c r="C19" s="60"/>
    </row>
    <row r="20" spans="2:3" x14ac:dyDescent="0.2">
      <c r="B20" s="48" t="s">
        <v>188</v>
      </c>
    </row>
    <row r="21" spans="2:3" x14ac:dyDescent="0.2">
      <c r="B21" s="59" t="s">
        <v>189</v>
      </c>
      <c r="C21" s="60">
        <v>4789</v>
      </c>
    </row>
    <row r="22" spans="2:3" x14ac:dyDescent="0.2">
      <c r="B22" s="48" t="s">
        <v>190</v>
      </c>
      <c r="C22" s="47">
        <v>-338</v>
      </c>
    </row>
    <row r="23" spans="2:3" x14ac:dyDescent="0.2">
      <c r="B23" s="59" t="s">
        <v>191</v>
      </c>
      <c r="C23" s="60">
        <v>-104</v>
      </c>
    </row>
    <row r="24" spans="2:3" x14ac:dyDescent="0.2">
      <c r="B24" s="48" t="s">
        <v>192</v>
      </c>
      <c r="C24" s="47">
        <f>SUM(C21:C23)</f>
        <v>4347</v>
      </c>
    </row>
    <row r="26" spans="2:3" x14ac:dyDescent="0.2">
      <c r="B26" s="125" t="s">
        <v>597</v>
      </c>
    </row>
    <row r="27" spans="2:3" x14ac:dyDescent="0.2">
      <c r="B27" s="48" t="s">
        <v>598</v>
      </c>
    </row>
    <row r="29" spans="2:3" x14ac:dyDescent="0.2">
      <c r="B29" s="47" t="s">
        <v>193</v>
      </c>
    </row>
    <row r="30" spans="2:3" x14ac:dyDescent="0.2">
      <c r="B30" s="47" t="s">
        <v>194</v>
      </c>
    </row>
    <row r="33" spans="1:4" x14ac:dyDescent="0.2">
      <c r="B33" s="65" t="s">
        <v>195</v>
      </c>
      <c r="C33" s="60"/>
    </row>
    <row r="34" spans="1:4" x14ac:dyDescent="0.2">
      <c r="B34" s="48" t="s">
        <v>186</v>
      </c>
      <c r="C34" s="47">
        <v>3572</v>
      </c>
    </row>
    <row r="35" spans="1:4" x14ac:dyDescent="0.2">
      <c r="B35" s="59" t="s">
        <v>196</v>
      </c>
      <c r="C35" s="60"/>
    </row>
    <row r="36" spans="1:4" x14ac:dyDescent="0.2">
      <c r="B36" s="48" t="s">
        <v>197</v>
      </c>
      <c r="C36" s="47">
        <v>393</v>
      </c>
    </row>
    <row r="37" spans="1:4" x14ac:dyDescent="0.2">
      <c r="B37" s="59" t="s">
        <v>198</v>
      </c>
      <c r="C37" s="60">
        <v>261</v>
      </c>
    </row>
    <row r="38" spans="1:4" x14ac:dyDescent="0.2">
      <c r="B38" s="48" t="s">
        <v>199</v>
      </c>
      <c r="C38" s="47">
        <v>70</v>
      </c>
    </row>
    <row r="39" spans="1:4" x14ac:dyDescent="0.2">
      <c r="B39" s="59" t="s">
        <v>200</v>
      </c>
      <c r="C39" s="60">
        <v>188</v>
      </c>
    </row>
    <row r="40" spans="1:4" x14ac:dyDescent="0.2">
      <c r="B40" s="48" t="s">
        <v>201</v>
      </c>
    </row>
    <row r="41" spans="1:4" x14ac:dyDescent="0.2">
      <c r="B41" s="59" t="s">
        <v>202</v>
      </c>
      <c r="C41" s="60">
        <v>-67</v>
      </c>
    </row>
    <row r="42" spans="1:4" x14ac:dyDescent="0.2">
      <c r="B42" s="48" t="s">
        <v>203</v>
      </c>
      <c r="C42" s="66">
        <v>422</v>
      </c>
    </row>
    <row r="43" spans="1:4" x14ac:dyDescent="0.2">
      <c r="B43" s="59" t="s">
        <v>204</v>
      </c>
      <c r="C43" s="60">
        <f>SUM(C41:C42,C36:C39,C34)</f>
        <v>4839</v>
      </c>
    </row>
    <row r="45" spans="1:4" ht="13.5" thickBot="1" x14ac:dyDescent="0.25"/>
    <row r="46" spans="1:4" customFormat="1" ht="15" x14ac:dyDescent="0.25">
      <c r="A46" s="51" t="s">
        <v>143</v>
      </c>
      <c r="C46" s="132" t="s">
        <v>630</v>
      </c>
      <c r="D46" s="133">
        <f>C24-C22-C23</f>
        <v>4789</v>
      </c>
    </row>
    <row r="47" spans="1:4" customFormat="1" ht="13.5" thickBot="1" x14ac:dyDescent="0.25">
      <c r="C47" s="134" t="s">
        <v>631</v>
      </c>
      <c r="D47" s="135">
        <f>D46+C36</f>
        <v>5182</v>
      </c>
    </row>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sheetData>
  <pageMargins left="0.75" right="0.75" top="1" bottom="1" header="0.5" footer="0.5"/>
  <pageSetup orientation="portrait" r:id="rId1"/>
  <headerFooter alignWithMargins="0">
    <oddFooter>&amp;L&amp;8© AMT Training 2008 - 2016</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36"/>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42.855468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#11</v>
      </c>
      <c r="B2" s="12"/>
      <c r="C2" s="12"/>
      <c r="D2" s="13"/>
      <c r="E2" s="13"/>
      <c r="F2" s="13"/>
      <c r="G2" s="13"/>
      <c r="H2" s="13"/>
      <c r="I2" s="13"/>
      <c r="J2" s="13"/>
    </row>
    <row r="3" spans="1:10" ht="13.5" thickTop="1" x14ac:dyDescent="0.2"/>
    <row r="4" spans="1:10" x14ac:dyDescent="0.2">
      <c r="B4" t="s">
        <v>205</v>
      </c>
    </row>
    <row r="5" spans="1:10" x14ac:dyDescent="0.2">
      <c r="B5"/>
    </row>
    <row r="6" spans="1:10" x14ac:dyDescent="0.2">
      <c r="B6" s="28" t="s">
        <v>206</v>
      </c>
    </row>
    <row r="7" spans="1:10" x14ac:dyDescent="0.2">
      <c r="B7" t="s">
        <v>65</v>
      </c>
      <c r="D7" s="39">
        <v>143492.9</v>
      </c>
    </row>
    <row r="8" spans="1:10" x14ac:dyDescent="0.2">
      <c r="B8" t="s">
        <v>26</v>
      </c>
      <c r="D8" s="39">
        <v>92857.1</v>
      </c>
    </row>
    <row r="9" spans="1:10" s="57" customFormat="1" x14ac:dyDescent="0.2">
      <c r="B9" s="28" t="s">
        <v>27</v>
      </c>
      <c r="D9" s="57">
        <f>D7-D8</f>
        <v>50635.799999999988</v>
      </c>
      <c r="F9" s="47"/>
    </row>
    <row r="10" spans="1:10" x14ac:dyDescent="0.2">
      <c r="B10" t="s">
        <v>66</v>
      </c>
      <c r="D10" s="39">
        <v>42778.6</v>
      </c>
    </row>
    <row r="11" spans="1:10" s="57" customFormat="1" x14ac:dyDescent="0.2">
      <c r="B11" s="28" t="s">
        <v>29</v>
      </c>
      <c r="D11" s="57">
        <f>D9-D10</f>
        <v>7857.1999999999898</v>
      </c>
      <c r="F11" s="47"/>
    </row>
    <row r="12" spans="1:10" x14ac:dyDescent="0.2">
      <c r="B12" t="s">
        <v>30</v>
      </c>
      <c r="D12" s="39">
        <v>2740.7</v>
      </c>
    </row>
    <row r="13" spans="1:10" s="57" customFormat="1" x14ac:dyDescent="0.2">
      <c r="B13" s="28" t="s">
        <v>31</v>
      </c>
      <c r="D13" s="57">
        <f>D11-D12</f>
        <v>5116.49999999999</v>
      </c>
      <c r="F13" s="47"/>
    </row>
    <row r="14" spans="1:10" x14ac:dyDescent="0.2">
      <c r="B14" t="s">
        <v>32</v>
      </c>
      <c r="D14" s="39">
        <v>2750.7</v>
      </c>
    </row>
    <row r="15" spans="1:10" s="57" customFormat="1" x14ac:dyDescent="0.2">
      <c r="B15" s="28" t="s">
        <v>33</v>
      </c>
      <c r="D15" s="57">
        <f>D13-D14</f>
        <v>2365.7999999999902</v>
      </c>
      <c r="F15" s="47"/>
    </row>
    <row r="16" spans="1:10" x14ac:dyDescent="0.2">
      <c r="B16"/>
    </row>
    <row r="17" spans="1:4" x14ac:dyDescent="0.2">
      <c r="B17" t="s">
        <v>207</v>
      </c>
      <c r="D17" s="24">
        <v>42988</v>
      </c>
    </row>
    <row r="18" spans="1:4" x14ac:dyDescent="0.2">
      <c r="B18" t="s">
        <v>208</v>
      </c>
      <c r="D18" s="58">
        <v>0.32</v>
      </c>
    </row>
    <row r="19" spans="1:4" x14ac:dyDescent="0.2">
      <c r="B19"/>
    </row>
    <row r="20" spans="1:4" customFormat="1" ht="15" x14ac:dyDescent="0.25">
      <c r="A20" s="51" t="s">
        <v>143</v>
      </c>
    </row>
    <row r="21" spans="1:4" customFormat="1" x14ac:dyDescent="0.2"/>
    <row r="22" spans="1:4" customFormat="1" x14ac:dyDescent="0.2"/>
    <row r="23" spans="1:4" customFormat="1" x14ac:dyDescent="0.2"/>
    <row r="24" spans="1:4" customFormat="1" x14ac:dyDescent="0.2"/>
    <row r="25" spans="1:4" customFormat="1" x14ac:dyDescent="0.2"/>
    <row r="26" spans="1:4" customFormat="1" x14ac:dyDescent="0.2"/>
    <row r="27" spans="1:4" customFormat="1" x14ac:dyDescent="0.2"/>
    <row r="28" spans="1:4" customFormat="1" x14ac:dyDescent="0.2"/>
    <row r="29" spans="1:4" customFormat="1" x14ac:dyDescent="0.2"/>
    <row r="30" spans="1:4" customFormat="1" x14ac:dyDescent="0.2"/>
    <row r="31" spans="1:4" customFormat="1" x14ac:dyDescent="0.2"/>
    <row r="32" spans="1:4"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sheetData>
  <pageMargins left="0.75" right="0.75" top="1" bottom="1" header="0.5" footer="0.5"/>
  <pageSetup orientation="portrait" r:id="rId1"/>
  <headerFooter alignWithMargins="0">
    <oddFooter>&amp;L&amp;8© AMT Training 2008 - 2016</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39"/>
  <sheetViews>
    <sheetView showGridLines="0" zoomScaleNormal="100" workbookViewId="0">
      <pane ySplit="2" topLeftCell="A3" activePane="bottomLeft" state="frozen"/>
      <selection pane="bottomLeft" activeCell="F28" sqref="F28"/>
    </sheetView>
  </sheetViews>
  <sheetFormatPr defaultColWidth="9.140625" defaultRowHeight="12.75" x14ac:dyDescent="0.2"/>
  <cols>
    <col min="1" max="1" width="1.7109375" style="47" customWidth="1"/>
    <col min="2" max="2" width="9.7109375" style="47" bestFit="1" customWidth="1"/>
    <col min="3" max="3" width="10.7109375" style="47" bestFit="1" customWidth="1"/>
    <col min="4" max="4" width="10.140625" style="47" bestFit="1" customWidth="1"/>
    <col min="5" max="5" width="9.140625" style="47"/>
    <col min="6" max="6" width="18" style="47" bestFit="1" customWidth="1"/>
    <col min="7" max="7" width="10.140625" style="47" bestFit="1" customWidth="1"/>
    <col min="8" max="9" width="9.5703125" style="47" bestFit="1" customWidth="1"/>
    <col min="10"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#12</v>
      </c>
      <c r="B2" s="12"/>
      <c r="C2" s="12"/>
      <c r="D2" s="13"/>
      <c r="E2" s="13"/>
      <c r="F2" s="13"/>
      <c r="G2" s="13"/>
      <c r="H2" s="13"/>
      <c r="I2" s="13"/>
      <c r="J2" s="13"/>
    </row>
    <row r="3" spans="1:10" ht="13.5" thickTop="1" x14ac:dyDescent="0.2"/>
    <row r="4" spans="1:10" x14ac:dyDescent="0.2">
      <c r="B4" t="s">
        <v>209</v>
      </c>
    </row>
    <row r="5" spans="1:10" x14ac:dyDescent="0.2">
      <c r="B5"/>
    </row>
    <row r="6" spans="1:10" x14ac:dyDescent="0.2">
      <c r="B6" t="s">
        <v>210</v>
      </c>
    </row>
    <row r="7" spans="1:10" x14ac:dyDescent="0.2">
      <c r="B7" t="s">
        <v>65</v>
      </c>
      <c r="F7" s="39">
        <v>109054.6</v>
      </c>
    </row>
    <row r="8" spans="1:10" x14ac:dyDescent="0.2">
      <c r="B8" t="s">
        <v>26</v>
      </c>
      <c r="F8" s="39">
        <v>70571.399999999994</v>
      </c>
    </row>
    <row r="9" spans="1:10" s="57" customFormat="1" x14ac:dyDescent="0.2">
      <c r="B9" s="28" t="s">
        <v>27</v>
      </c>
      <c r="F9" s="57">
        <f>F7-F8</f>
        <v>38483.200000000012</v>
      </c>
    </row>
    <row r="10" spans="1:10" x14ac:dyDescent="0.2">
      <c r="B10" t="s">
        <v>66</v>
      </c>
      <c r="F10" s="39">
        <v>32511.7</v>
      </c>
    </row>
    <row r="11" spans="1:10" s="57" customFormat="1" x14ac:dyDescent="0.2">
      <c r="B11" s="28" t="s">
        <v>29</v>
      </c>
      <c r="F11" s="57">
        <f>F9-F10</f>
        <v>5971.5000000000109</v>
      </c>
    </row>
    <row r="12" spans="1:10" x14ac:dyDescent="0.2">
      <c r="B12" t="s">
        <v>30</v>
      </c>
      <c r="F12" s="39">
        <v>2082.9</v>
      </c>
    </row>
    <row r="13" spans="1:10" s="57" customFormat="1" x14ac:dyDescent="0.2">
      <c r="B13" s="28" t="s">
        <v>31</v>
      </c>
      <c r="F13" s="57">
        <f>F11-F12</f>
        <v>3888.6000000000108</v>
      </c>
    </row>
    <row r="14" spans="1:10" x14ac:dyDescent="0.2">
      <c r="B14" t="s">
        <v>32</v>
      </c>
      <c r="F14" s="39">
        <v>1480</v>
      </c>
    </row>
    <row r="15" spans="1:10" s="57" customFormat="1" x14ac:dyDescent="0.2">
      <c r="B15" s="28" t="s">
        <v>211</v>
      </c>
      <c r="F15" s="57">
        <f>F13-F14</f>
        <v>2408.6000000000108</v>
      </c>
    </row>
    <row r="16" spans="1:10" x14ac:dyDescent="0.2">
      <c r="B16" t="s">
        <v>212</v>
      </c>
      <c r="F16" s="39">
        <v>449.5</v>
      </c>
    </row>
    <row r="17" spans="1:6" x14ac:dyDescent="0.2">
      <c r="B17" s="28" t="s">
        <v>44</v>
      </c>
      <c r="F17" s="57">
        <f>F15-F16</f>
        <v>1959.1000000000108</v>
      </c>
    </row>
    <row r="18" spans="1:6" x14ac:dyDescent="0.2">
      <c r="B18"/>
    </row>
    <row r="19" spans="1:6" x14ac:dyDescent="0.2">
      <c r="B19" t="s">
        <v>213</v>
      </c>
    </row>
    <row r="20" spans="1:6" x14ac:dyDescent="0.2">
      <c r="B20" t="s">
        <v>208</v>
      </c>
      <c r="F20" s="25">
        <v>0.37</v>
      </c>
    </row>
    <row r="21" spans="1:6" x14ac:dyDescent="0.2">
      <c r="B21" t="s">
        <v>214</v>
      </c>
      <c r="F21" s="24">
        <v>1300</v>
      </c>
    </row>
    <row r="22" spans="1:6" x14ac:dyDescent="0.2">
      <c r="B22"/>
    </row>
    <row r="23" spans="1:6" customFormat="1" ht="15" x14ac:dyDescent="0.25">
      <c r="A23" s="51" t="s">
        <v>143</v>
      </c>
    </row>
    <row r="24" spans="1:6" customFormat="1" x14ac:dyDescent="0.2">
      <c r="D24" t="s">
        <v>632</v>
      </c>
      <c r="F24">
        <f>F10+F21</f>
        <v>33811.699999999997</v>
      </c>
    </row>
    <row r="25" spans="1:6" customFormat="1" x14ac:dyDescent="0.2">
      <c r="D25" t="s">
        <v>633</v>
      </c>
      <c r="F25" s="57">
        <f>F9-F24</f>
        <v>4671.5000000000146</v>
      </c>
    </row>
    <row r="26" spans="1:6" customFormat="1" x14ac:dyDescent="0.2">
      <c r="D26" t="s">
        <v>634</v>
      </c>
      <c r="F26" s="57">
        <f>F25-F12</f>
        <v>2588.6000000000145</v>
      </c>
    </row>
    <row r="27" spans="1:6" customFormat="1" x14ac:dyDescent="0.2">
      <c r="D27" t="s">
        <v>32</v>
      </c>
      <c r="F27" s="57">
        <f>F14+(F26-F13)*F20</f>
        <v>999.00000000000136</v>
      </c>
    </row>
    <row r="28" spans="1:6" customFormat="1" x14ac:dyDescent="0.2">
      <c r="D28" t="s">
        <v>635</v>
      </c>
      <c r="F28" s="57">
        <f>F26-F27</f>
        <v>1589.6000000000131</v>
      </c>
    </row>
    <row r="29" spans="1:6" customFormat="1" x14ac:dyDescent="0.2"/>
    <row r="30" spans="1:6" customFormat="1" x14ac:dyDescent="0.2"/>
    <row r="31" spans="1:6" customFormat="1" x14ac:dyDescent="0.2"/>
    <row r="32" spans="1:6"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sheetData>
  <pageMargins left="0.75" right="0.75" top="1" bottom="1" header="0.5" footer="0.5"/>
  <pageSetup orientation="portrait" r:id="rId1"/>
  <headerFooter alignWithMargins="0">
    <oddFooter>&amp;L&amp;8© AMT Training 2008 - 2016</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197"/>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41" style="47" customWidth="1"/>
    <col min="3" max="3" width="10.7109375" style="47" bestFit="1" customWidth="1"/>
    <col min="4" max="4" width="10.140625" style="47" bestFit="1" customWidth="1"/>
    <col min="5" max="5" width="9.140625" style="47"/>
    <col min="6" max="6" width="17.28515625" style="47" bestFit="1" customWidth="1"/>
    <col min="7" max="7" width="10.140625" style="47" bestFit="1" customWidth="1"/>
    <col min="8" max="9" width="9.5703125" style="47" bestFit="1" customWidth="1"/>
    <col min="10"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#13</v>
      </c>
      <c r="B2" s="12"/>
      <c r="C2" s="12"/>
      <c r="D2" s="13"/>
      <c r="E2" s="13"/>
      <c r="F2" s="13"/>
      <c r="G2" s="13"/>
      <c r="H2" s="13"/>
      <c r="I2" s="13"/>
      <c r="J2" s="13"/>
    </row>
    <row r="3" spans="1:10" ht="13.5" thickTop="1" x14ac:dyDescent="0.2"/>
    <row r="4" spans="1:10" x14ac:dyDescent="0.2">
      <c r="B4" t="s">
        <v>215</v>
      </c>
    </row>
    <row r="5" spans="1:10" x14ac:dyDescent="0.2">
      <c r="B5"/>
    </row>
    <row r="6" spans="1:10" x14ac:dyDescent="0.2">
      <c r="B6" t="s">
        <v>155</v>
      </c>
    </row>
    <row r="7" spans="1:10" x14ac:dyDescent="0.2">
      <c r="B7" t="s">
        <v>65</v>
      </c>
      <c r="F7" s="39">
        <v>200890</v>
      </c>
    </row>
    <row r="8" spans="1:10" x14ac:dyDescent="0.2">
      <c r="B8" t="s">
        <v>26</v>
      </c>
      <c r="F8" s="39">
        <v>130000</v>
      </c>
    </row>
    <row r="9" spans="1:10" s="57" customFormat="1" x14ac:dyDescent="0.2">
      <c r="B9" t="s">
        <v>27</v>
      </c>
      <c r="F9" s="57">
        <f>F7-F8</f>
        <v>70890</v>
      </c>
    </row>
    <row r="10" spans="1:10" x14ac:dyDescent="0.2">
      <c r="B10" t="s">
        <v>66</v>
      </c>
      <c r="F10" s="39">
        <v>59890</v>
      </c>
    </row>
    <row r="11" spans="1:10" s="57" customFormat="1" x14ac:dyDescent="0.2">
      <c r="B11" t="s">
        <v>29</v>
      </c>
      <c r="F11" s="57">
        <f>F9-F10</f>
        <v>11000</v>
      </c>
    </row>
    <row r="12" spans="1:10" x14ac:dyDescent="0.2">
      <c r="B12" t="s">
        <v>30</v>
      </c>
      <c r="F12" s="39">
        <v>3837</v>
      </c>
    </row>
    <row r="13" spans="1:10" s="57" customFormat="1" x14ac:dyDescent="0.2">
      <c r="B13" t="s">
        <v>31</v>
      </c>
      <c r="F13" s="57">
        <f>F11-F12</f>
        <v>7163</v>
      </c>
    </row>
    <row r="14" spans="1:10" x14ac:dyDescent="0.2">
      <c r="B14" t="s">
        <v>32</v>
      </c>
      <c r="F14" s="39">
        <v>3851</v>
      </c>
    </row>
    <row r="15" spans="1:10" s="57" customFormat="1" x14ac:dyDescent="0.2">
      <c r="B15" t="s">
        <v>33</v>
      </c>
      <c r="F15" s="57">
        <f>F13-F14</f>
        <v>3312</v>
      </c>
    </row>
    <row r="16" spans="1:10" x14ac:dyDescent="0.2">
      <c r="B16"/>
    </row>
    <row r="17" spans="1:6" x14ac:dyDescent="0.2">
      <c r="B17" s="28" t="s">
        <v>156</v>
      </c>
    </row>
    <row r="18" spans="1:6" x14ac:dyDescent="0.2">
      <c r="B18" t="s">
        <v>157</v>
      </c>
      <c r="F18" s="24">
        <v>66773</v>
      </c>
    </row>
    <row r="19" spans="1:6" x14ac:dyDescent="0.2">
      <c r="B19" t="s">
        <v>158</v>
      </c>
      <c r="F19" s="24">
        <v>2300</v>
      </c>
    </row>
    <row r="20" spans="1:6" x14ac:dyDescent="0.2">
      <c r="B20" t="s">
        <v>159</v>
      </c>
      <c r="F20" s="24">
        <v>31900</v>
      </c>
    </row>
    <row r="21" spans="1:6" x14ac:dyDescent="0.2">
      <c r="B21" t="s">
        <v>160</v>
      </c>
      <c r="F21" s="58">
        <v>0.36</v>
      </c>
    </row>
    <row r="22" spans="1:6" x14ac:dyDescent="0.2">
      <c r="B22"/>
    </row>
    <row r="23" spans="1:6" customFormat="1" ht="15" x14ac:dyDescent="0.25">
      <c r="A23" s="51" t="s">
        <v>143</v>
      </c>
    </row>
    <row r="24" spans="1:6" customFormat="1" x14ac:dyDescent="0.2"/>
    <row r="25" spans="1:6" customFormat="1" x14ac:dyDescent="0.2"/>
    <row r="26" spans="1:6" customFormat="1" x14ac:dyDescent="0.2"/>
    <row r="27" spans="1:6" customFormat="1" x14ac:dyDescent="0.2"/>
    <row r="28" spans="1:6" customFormat="1" x14ac:dyDescent="0.2"/>
    <row r="29" spans="1:6" customFormat="1" x14ac:dyDescent="0.2"/>
    <row r="30" spans="1:6" customFormat="1" x14ac:dyDescent="0.2"/>
    <row r="31" spans="1:6" customFormat="1" x14ac:dyDescent="0.2"/>
    <row r="32" spans="1:6"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sheetData>
  <pageMargins left="0.75" right="0.75" top="1" bottom="1" header="0.5" footer="0.5"/>
  <pageSetup orientation="portrait" r:id="rId1"/>
  <headerFooter alignWithMargins="0">
    <oddFooter>&amp;L&amp;8© AMT Training 2008 - 2016</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05"/>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51.4257812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#14</v>
      </c>
      <c r="B2" s="12"/>
      <c r="C2" s="12"/>
      <c r="D2" s="13"/>
      <c r="E2" s="13"/>
      <c r="F2" s="13"/>
      <c r="G2" s="13"/>
      <c r="H2" s="13"/>
      <c r="I2" s="13"/>
      <c r="J2" s="13"/>
    </row>
    <row r="3" spans="1:10" ht="13.5" thickTop="1" x14ac:dyDescent="0.2"/>
    <row r="4" spans="1:10" x14ac:dyDescent="0.2">
      <c r="B4" s="48" t="s">
        <v>599</v>
      </c>
    </row>
    <row r="5" spans="1:10" x14ac:dyDescent="0.2">
      <c r="B5" s="48" t="s">
        <v>600</v>
      </c>
    </row>
    <row r="6" spans="1:10" x14ac:dyDescent="0.2">
      <c r="B6" s="48" t="s">
        <v>216</v>
      </c>
    </row>
    <row r="8" spans="1:10" ht="15" x14ac:dyDescent="0.25">
      <c r="C8" s="68" t="s">
        <v>217</v>
      </c>
      <c r="D8" s="68" t="s">
        <v>218</v>
      </c>
      <c r="E8" s="68" t="s">
        <v>219</v>
      </c>
    </row>
    <row r="9" spans="1:10" x14ac:dyDescent="0.2">
      <c r="B9" s="59" t="s">
        <v>220</v>
      </c>
      <c r="C9" s="60">
        <v>47525</v>
      </c>
      <c r="D9" s="60">
        <v>64593</v>
      </c>
      <c r="E9" s="60">
        <v>5598</v>
      </c>
    </row>
    <row r="10" spans="1:10" x14ac:dyDescent="0.2">
      <c r="B10" s="48" t="s">
        <v>221</v>
      </c>
      <c r="C10" s="47">
        <v>1870</v>
      </c>
      <c r="D10" s="47">
        <v>1834</v>
      </c>
      <c r="E10" s="47">
        <v>122</v>
      </c>
    </row>
    <row r="11" spans="1:10" x14ac:dyDescent="0.2">
      <c r="B11" s="59" t="s">
        <v>222</v>
      </c>
      <c r="C11" s="60">
        <v>344</v>
      </c>
      <c r="D11" s="60">
        <v>433</v>
      </c>
      <c r="E11" s="60">
        <v>869</v>
      </c>
    </row>
    <row r="12" spans="1:10" x14ac:dyDescent="0.2">
      <c r="B12" s="48" t="s">
        <v>223</v>
      </c>
      <c r="C12" s="47">
        <v>5469</v>
      </c>
      <c r="D12" s="47">
        <v>0</v>
      </c>
      <c r="E12" s="47">
        <v>0</v>
      </c>
    </row>
    <row r="13" spans="1:10" x14ac:dyDescent="0.2">
      <c r="B13" s="59" t="s">
        <v>224</v>
      </c>
      <c r="C13" s="60">
        <v>-45415</v>
      </c>
      <c r="D13" s="60">
        <v>0</v>
      </c>
      <c r="E13" s="60">
        <v>0</v>
      </c>
    </row>
    <row r="14" spans="1:10" x14ac:dyDescent="0.2">
      <c r="B14" s="48" t="s">
        <v>225</v>
      </c>
      <c r="C14" s="47">
        <v>4507</v>
      </c>
      <c r="D14" s="47">
        <v>25</v>
      </c>
      <c r="E14" s="47">
        <v>61</v>
      </c>
    </row>
    <row r="15" spans="1:10" x14ac:dyDescent="0.2">
      <c r="B15" s="65" t="s">
        <v>226</v>
      </c>
      <c r="C15" s="69">
        <f>SUM(C9:C14)</f>
        <v>14300</v>
      </c>
      <c r="D15" s="69">
        <f t="shared" ref="D15:E15" si="0">SUM(D9:D14)</f>
        <v>66885</v>
      </c>
      <c r="E15" s="69">
        <f t="shared" si="0"/>
        <v>6650</v>
      </c>
    </row>
    <row r="18" spans="1:1" customFormat="1" ht="15" x14ac:dyDescent="0.25">
      <c r="A18" s="51" t="s">
        <v>143</v>
      </c>
    </row>
    <row r="19" spans="1:1" customFormat="1" x14ac:dyDescent="0.2"/>
    <row r="20" spans="1:1" customFormat="1" x14ac:dyDescent="0.2"/>
    <row r="21" spans="1:1" customFormat="1" x14ac:dyDescent="0.2"/>
    <row r="22" spans="1:1" customFormat="1" x14ac:dyDescent="0.2"/>
    <row r="23" spans="1:1" customFormat="1" x14ac:dyDescent="0.2"/>
    <row r="24" spans="1:1" customFormat="1" x14ac:dyDescent="0.2"/>
    <row r="25" spans="1:1" customFormat="1" x14ac:dyDescent="0.2"/>
    <row r="26" spans="1:1" customFormat="1" x14ac:dyDescent="0.2"/>
    <row r="27" spans="1:1" customFormat="1" x14ac:dyDescent="0.2"/>
    <row r="28" spans="1:1" customFormat="1" x14ac:dyDescent="0.2"/>
    <row r="29" spans="1:1" customFormat="1" x14ac:dyDescent="0.2"/>
    <row r="30" spans="1:1" customFormat="1" x14ac:dyDescent="0.2"/>
    <row r="31" spans="1:1" customFormat="1" x14ac:dyDescent="0.2"/>
    <row r="32" spans="1:1"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sheetData>
  <pageMargins left="0.75" right="0.75" top="1" bottom="1" header="0.5" footer="0.5"/>
  <pageSetup orientation="portrait" r:id="rId1"/>
  <headerFooter alignWithMargins="0">
    <oddFooter>&amp;L&amp;8© AMT Training 2008 - 2016</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150"/>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42.855468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#15</v>
      </c>
      <c r="B2" s="12"/>
      <c r="C2" s="12"/>
      <c r="D2" s="13"/>
      <c r="E2" s="13"/>
      <c r="F2" s="13"/>
      <c r="G2" s="13"/>
      <c r="H2" s="13"/>
      <c r="I2" s="13"/>
      <c r="J2" s="13"/>
    </row>
    <row r="3" spans="1:10" ht="13.5" thickTop="1" x14ac:dyDescent="0.2"/>
    <row r="4" spans="1:10" x14ac:dyDescent="0.2">
      <c r="B4" s="48" t="s">
        <v>601</v>
      </c>
    </row>
    <row r="5" spans="1:10" x14ac:dyDescent="0.2">
      <c r="E5" s="70" t="s">
        <v>227</v>
      </c>
      <c r="F5" s="70" t="s">
        <v>228</v>
      </c>
    </row>
    <row r="6" spans="1:10" x14ac:dyDescent="0.2">
      <c r="B6" s="59" t="s">
        <v>229</v>
      </c>
      <c r="C6" s="60"/>
      <c r="D6" s="60"/>
      <c r="E6" s="60">
        <v>11597686</v>
      </c>
      <c r="F6" s="59">
        <f t="shared" ref="F6:F20" si="0">E6/$E$6*100</f>
        <v>100</v>
      </c>
    </row>
    <row r="7" spans="1:10" x14ac:dyDescent="0.2">
      <c r="B7" s="48" t="s">
        <v>230</v>
      </c>
      <c r="E7" s="47">
        <v>8766754</v>
      </c>
      <c r="F7" s="48">
        <f t="shared" si="0"/>
        <v>75.590544527589387</v>
      </c>
    </row>
    <row r="8" spans="1:10" x14ac:dyDescent="0.2">
      <c r="B8" s="59" t="s">
        <v>231</v>
      </c>
      <c r="C8" s="59"/>
      <c r="D8" s="59"/>
      <c r="E8" s="59">
        <f>E6-E7</f>
        <v>2830932</v>
      </c>
      <c r="F8" s="59">
        <f t="shared" si="0"/>
        <v>24.409455472410617</v>
      </c>
    </row>
    <row r="9" spans="1:10" x14ac:dyDescent="0.2">
      <c r="B9" s="48" t="s">
        <v>232</v>
      </c>
      <c r="C9" s="48"/>
      <c r="D9" s="48"/>
      <c r="E9" s="48">
        <v>0</v>
      </c>
      <c r="F9" s="48">
        <f t="shared" si="0"/>
        <v>0</v>
      </c>
    </row>
    <row r="10" spans="1:10" x14ac:dyDescent="0.2">
      <c r="B10" s="59" t="s">
        <v>233</v>
      </c>
      <c r="C10" s="59"/>
      <c r="D10" s="59"/>
      <c r="E10" s="59">
        <v>2583625</v>
      </c>
      <c r="F10" s="59">
        <f t="shared" si="0"/>
        <v>22.27707320236123</v>
      </c>
    </row>
    <row r="11" spans="1:10" x14ac:dyDescent="0.2">
      <c r="B11" s="48" t="s">
        <v>234</v>
      </c>
      <c r="C11" s="48"/>
      <c r="D11" s="48"/>
      <c r="E11" s="48">
        <v>26908</v>
      </c>
      <c r="F11" s="48">
        <f t="shared" si="0"/>
        <v>0.23201179959519511</v>
      </c>
    </row>
    <row r="12" spans="1:10" x14ac:dyDescent="0.2">
      <c r="B12" s="59" t="s">
        <v>235</v>
      </c>
      <c r="C12" s="59"/>
      <c r="D12" s="59"/>
      <c r="E12" s="59">
        <f>E8-E11-E10+E9</f>
        <v>220399</v>
      </c>
      <c r="F12" s="59">
        <f t="shared" si="0"/>
        <v>1.9003704704541924</v>
      </c>
    </row>
    <row r="13" spans="1:10" x14ac:dyDescent="0.2">
      <c r="B13" s="48" t="s">
        <v>236</v>
      </c>
      <c r="C13" s="48"/>
      <c r="D13" s="48"/>
      <c r="E13" s="48">
        <v>21826</v>
      </c>
      <c r="F13" s="48">
        <f t="shared" si="0"/>
        <v>0.18819271361545742</v>
      </c>
    </row>
    <row r="14" spans="1:10" x14ac:dyDescent="0.2">
      <c r="B14" s="59" t="s">
        <v>30</v>
      </c>
      <c r="C14" s="59"/>
      <c r="D14" s="59"/>
      <c r="E14" s="59">
        <v>3143</v>
      </c>
      <c r="F14" s="59">
        <f t="shared" si="0"/>
        <v>2.7100233615567796E-2</v>
      </c>
    </row>
    <row r="15" spans="1:10" x14ac:dyDescent="0.2">
      <c r="B15" s="48" t="s">
        <v>237</v>
      </c>
      <c r="C15" s="48"/>
      <c r="D15" s="48"/>
      <c r="E15" s="48">
        <f>E12+E13-E14</f>
        <v>239082</v>
      </c>
      <c r="F15" s="48">
        <f t="shared" si="0"/>
        <v>2.0614629504540822</v>
      </c>
    </row>
    <row r="16" spans="1:10" x14ac:dyDescent="0.2">
      <c r="B16" s="59" t="s">
        <v>238</v>
      </c>
      <c r="C16" s="59"/>
      <c r="D16" s="59"/>
      <c r="E16" s="59">
        <v>87970</v>
      </c>
      <c r="F16" s="59">
        <f t="shared" si="0"/>
        <v>0.75851337930687213</v>
      </c>
    </row>
    <row r="17" spans="2:6" x14ac:dyDescent="0.2">
      <c r="B17" s="48" t="s">
        <v>239</v>
      </c>
      <c r="C17" s="48"/>
      <c r="D17" s="48"/>
      <c r="E17" s="48">
        <f>E15-E16</f>
        <v>151112</v>
      </c>
      <c r="F17" s="48">
        <f t="shared" si="0"/>
        <v>1.3029495711472099</v>
      </c>
    </row>
    <row r="18" spans="2:6" x14ac:dyDescent="0.2">
      <c r="B18" s="59" t="s">
        <v>240</v>
      </c>
      <c r="C18" s="59"/>
      <c r="D18" s="59"/>
      <c r="E18" s="59">
        <v>-9013</v>
      </c>
      <c r="F18" s="59">
        <f t="shared" si="0"/>
        <v>-7.7713778420971213E-2</v>
      </c>
    </row>
    <row r="19" spans="2:6" x14ac:dyDescent="0.2">
      <c r="B19" s="48" t="s">
        <v>241</v>
      </c>
      <c r="C19" s="48"/>
      <c r="D19" s="48"/>
      <c r="E19" s="48">
        <v>-2353</v>
      </c>
      <c r="F19" s="48">
        <f t="shared" si="0"/>
        <v>-2.0288529970547572E-2</v>
      </c>
    </row>
    <row r="20" spans="2:6" x14ac:dyDescent="0.2">
      <c r="B20" s="59" t="s">
        <v>242</v>
      </c>
      <c r="C20" s="59"/>
      <c r="D20" s="59"/>
      <c r="E20" s="59">
        <f>E17+E18+E19</f>
        <v>139746</v>
      </c>
      <c r="F20" s="59">
        <f t="shared" si="0"/>
        <v>1.2049472627556912</v>
      </c>
    </row>
    <row r="23" spans="2:6" x14ac:dyDescent="0.2">
      <c r="B23" s="59" t="s">
        <v>243</v>
      </c>
      <c r="C23" s="60"/>
      <c r="D23" s="60"/>
      <c r="E23" s="60">
        <v>35</v>
      </c>
      <c r="F23" s="59" t="s">
        <v>244</v>
      </c>
    </row>
    <row r="24" spans="2:6" x14ac:dyDescent="0.2">
      <c r="B24" s="48" t="s">
        <v>245</v>
      </c>
      <c r="E24" s="47">
        <v>2</v>
      </c>
      <c r="F24" s="48"/>
    </row>
    <row r="25" spans="2:6" x14ac:dyDescent="0.2">
      <c r="B25" s="59" t="s">
        <v>246</v>
      </c>
      <c r="C25" s="59"/>
      <c r="D25" s="59"/>
      <c r="E25" s="59">
        <v>0.1</v>
      </c>
      <c r="F25" s="59"/>
    </row>
    <row r="26" spans="2:6" x14ac:dyDescent="0.2">
      <c r="B26" s="48" t="s">
        <v>247</v>
      </c>
      <c r="C26" s="48"/>
      <c r="D26" s="48"/>
      <c r="E26" s="48">
        <v>0</v>
      </c>
      <c r="F26" s="48"/>
    </row>
    <row r="27" spans="2:6" x14ac:dyDescent="0.2">
      <c r="B27" s="59" t="s">
        <v>248</v>
      </c>
      <c r="C27" s="59"/>
      <c r="D27" s="59"/>
      <c r="E27" s="59">
        <v>0</v>
      </c>
      <c r="F27" s="59"/>
    </row>
    <row r="28" spans="2:6" x14ac:dyDescent="0.2">
      <c r="B28" s="48" t="s">
        <v>249</v>
      </c>
      <c r="C28" s="48"/>
      <c r="D28" s="48"/>
      <c r="E28" s="48">
        <v>-0.1</v>
      </c>
      <c r="F28" s="48"/>
    </row>
    <row r="29" spans="2:6" x14ac:dyDescent="0.2">
      <c r="B29" s="59" t="s">
        <v>250</v>
      </c>
      <c r="C29" s="59"/>
      <c r="D29" s="59"/>
      <c r="E29" s="59">
        <v>-0.4</v>
      </c>
      <c r="F29" s="59"/>
    </row>
    <row r="30" spans="2:6" x14ac:dyDescent="0.2">
      <c r="B30" s="48" t="s">
        <v>251</v>
      </c>
      <c r="C30" s="48"/>
      <c r="D30" s="48"/>
      <c r="E30" s="48">
        <v>-0.2</v>
      </c>
      <c r="F30" s="48"/>
    </row>
    <row r="31" spans="2:6" x14ac:dyDescent="0.2">
      <c r="B31" s="59" t="s">
        <v>225</v>
      </c>
      <c r="C31" s="59"/>
      <c r="D31" s="59"/>
      <c r="E31" s="59">
        <v>0.4</v>
      </c>
      <c r="F31" s="59"/>
    </row>
    <row r="32" spans="2:6" x14ac:dyDescent="0.2">
      <c r="B32" s="48" t="s">
        <v>252</v>
      </c>
      <c r="C32" s="48"/>
      <c r="D32" s="48"/>
      <c r="E32" s="48">
        <f>SUM(E23:E31)</f>
        <v>36.799999999999997</v>
      </c>
      <c r="F32" s="48" t="s">
        <v>244</v>
      </c>
    </row>
    <row r="34" spans="1:1" customFormat="1" ht="15" x14ac:dyDescent="0.25">
      <c r="A34" s="51" t="s">
        <v>143</v>
      </c>
    </row>
    <row r="35" spans="1:1" customFormat="1" x14ac:dyDescent="0.2"/>
    <row r="36" spans="1:1" customFormat="1" x14ac:dyDescent="0.2"/>
    <row r="37" spans="1:1" customFormat="1" x14ac:dyDescent="0.2"/>
    <row r="38" spans="1:1" customFormat="1" x14ac:dyDescent="0.2"/>
    <row r="39" spans="1:1" customFormat="1" x14ac:dyDescent="0.2"/>
    <row r="40" spans="1:1" customFormat="1" x14ac:dyDescent="0.2"/>
    <row r="41" spans="1:1" customFormat="1" x14ac:dyDescent="0.2"/>
    <row r="42" spans="1:1" customFormat="1" x14ac:dyDescent="0.2"/>
    <row r="43" spans="1:1" customFormat="1" x14ac:dyDescent="0.2"/>
    <row r="44" spans="1:1" customFormat="1" x14ac:dyDescent="0.2"/>
    <row r="45" spans="1:1" customFormat="1" x14ac:dyDescent="0.2"/>
    <row r="46" spans="1:1" customFormat="1" x14ac:dyDescent="0.2"/>
    <row r="47" spans="1:1" customFormat="1" x14ac:dyDescent="0.2"/>
    <row r="48" spans="1:1"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sheetData>
  <pageMargins left="0.75" right="0.75" top="1" bottom="1" header="0.5" footer="0.5"/>
  <pageSetup orientation="portrait" r:id="rId1"/>
  <headerFooter alignWithMargins="0">
    <oddFooter>&amp;L&amp;8© AMT Training 2008 - 2016</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18"/>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73.7109375" style="47" customWidth="1"/>
    <col min="3" max="10" width="14.42578125" style="47" customWidth="1"/>
    <col min="11" max="16384" width="9.140625" style="47"/>
  </cols>
  <sheetData>
    <row r="1" spans="1:10" ht="30" x14ac:dyDescent="0.45">
      <c r="A1" s="9" t="str">
        <f>CoName1</f>
        <v>Income statement</v>
      </c>
      <c r="B1" s="10"/>
      <c r="C1" s="10"/>
      <c r="D1" s="11"/>
      <c r="E1" s="11"/>
      <c r="F1" s="11"/>
      <c r="G1" s="11"/>
      <c r="H1" s="11"/>
      <c r="I1" s="11"/>
      <c r="J1" s="11"/>
    </row>
    <row r="2" spans="1:10" ht="19.5" thickBot="1" x14ac:dyDescent="0.35">
      <c r="A2" s="5" t="str">
        <f ca="1">"Question IS #"&amp;RIGHT(CELL("filename",$A$1),LEN(CELL("filename",$A$1))-FIND("]",CELL("filename",$A$1))-4)</f>
        <v>Question IS #16</v>
      </c>
      <c r="B2" s="12"/>
      <c r="C2" s="12"/>
      <c r="D2" s="13"/>
      <c r="E2" s="13"/>
      <c r="F2" s="13"/>
      <c r="G2" s="13"/>
      <c r="H2" s="13"/>
      <c r="I2" s="13"/>
      <c r="J2" s="13"/>
    </row>
    <row r="3" spans="1:10" ht="13.5" thickTop="1" x14ac:dyDescent="0.2"/>
    <row r="4" spans="1:10" x14ac:dyDescent="0.2">
      <c r="B4" s="48" t="s">
        <v>602</v>
      </c>
    </row>
    <row r="6" spans="1:10" ht="15" x14ac:dyDescent="0.25">
      <c r="C6" s="68" t="s">
        <v>218</v>
      </c>
      <c r="D6" s="68" t="s">
        <v>219</v>
      </c>
    </row>
    <row r="7" spans="1:10" x14ac:dyDescent="0.2">
      <c r="B7" s="59" t="s">
        <v>253</v>
      </c>
      <c r="C7" s="60">
        <v>30848</v>
      </c>
      <c r="D7" s="60">
        <v>27433</v>
      </c>
    </row>
    <row r="8" spans="1:10" x14ac:dyDescent="0.2">
      <c r="B8" s="48" t="s">
        <v>26</v>
      </c>
      <c r="C8" s="47">
        <v>23122</v>
      </c>
      <c r="D8" s="47">
        <v>20938</v>
      </c>
    </row>
    <row r="9" spans="1:10" x14ac:dyDescent="0.2">
      <c r="B9" s="59" t="s">
        <v>27</v>
      </c>
      <c r="C9" s="60">
        <f>C7-C8</f>
        <v>7726</v>
      </c>
      <c r="D9" s="60">
        <f>D7-D8</f>
        <v>6495</v>
      </c>
    </row>
    <row r="10" spans="1:10" x14ac:dyDescent="0.2">
      <c r="B10" s="48" t="s">
        <v>233</v>
      </c>
      <c r="C10" s="47">
        <v>6082</v>
      </c>
      <c r="D10" s="47">
        <v>5053</v>
      </c>
    </row>
    <row r="11" spans="1:10" x14ac:dyDescent="0.2">
      <c r="B11" s="59" t="s">
        <v>254</v>
      </c>
      <c r="C11" s="60">
        <f>C9-C10</f>
        <v>1644</v>
      </c>
      <c r="D11" s="60">
        <f>D9-D10</f>
        <v>1442</v>
      </c>
    </row>
    <row r="12" spans="1:10" x14ac:dyDescent="0.2">
      <c r="B12" s="48" t="s">
        <v>255</v>
      </c>
      <c r="C12" s="47">
        <v>77</v>
      </c>
      <c r="D12" s="47">
        <v>1</v>
      </c>
    </row>
    <row r="13" spans="1:10" x14ac:dyDescent="0.2">
      <c r="B13" s="59" t="s">
        <v>256</v>
      </c>
      <c r="C13" s="60">
        <f>C11+C12</f>
        <v>1721</v>
      </c>
      <c r="D13" s="60">
        <f>D11+D12</f>
        <v>1443</v>
      </c>
    </row>
    <row r="14" spans="1:10" x14ac:dyDescent="0.2">
      <c r="B14" s="48" t="s">
        <v>257</v>
      </c>
      <c r="C14" s="47">
        <v>581</v>
      </c>
      <c r="D14" s="47">
        <v>509</v>
      </c>
    </row>
    <row r="15" spans="1:10" x14ac:dyDescent="0.2">
      <c r="B15" s="59" t="s">
        <v>258</v>
      </c>
      <c r="C15" s="60">
        <f>C13-C14</f>
        <v>1140</v>
      </c>
      <c r="D15" s="60">
        <f>D13-D14</f>
        <v>934</v>
      </c>
    </row>
    <row r="16" spans="1:10" x14ac:dyDescent="0.2">
      <c r="B16" s="48" t="s">
        <v>259</v>
      </c>
      <c r="C16" s="47">
        <v>0</v>
      </c>
      <c r="D16" s="47">
        <v>0</v>
      </c>
    </row>
    <row r="17" spans="2:4" x14ac:dyDescent="0.2">
      <c r="B17" s="59" t="s">
        <v>260</v>
      </c>
      <c r="C17" s="60">
        <v>0</v>
      </c>
      <c r="D17" s="60">
        <v>50</v>
      </c>
    </row>
    <row r="18" spans="2:4" x14ac:dyDescent="0.2">
      <c r="B18" s="48" t="s">
        <v>261</v>
      </c>
      <c r="C18" s="47">
        <f>C15-C16+C17</f>
        <v>1140</v>
      </c>
      <c r="D18" s="47">
        <f>D15-D16+D17</f>
        <v>984</v>
      </c>
    </row>
    <row r="20" spans="2:4" x14ac:dyDescent="0.2">
      <c r="B20" s="57" t="s">
        <v>262</v>
      </c>
    </row>
    <row r="21" spans="2:4" ht="40.15" customHeight="1" x14ac:dyDescent="0.2">
      <c r="B21" s="71" t="str">
        <f>"We recorded pre-tax asset impairment charges of $"&amp;C21&amp;" and $"&amp;D21&amp;" in fiscal Year 2 and Year 1 respectively."</f>
        <v>We recorded pre-tax asset impairment charges of $4 and $22 in fiscal Year 2 and Year 1 respectively.</v>
      </c>
      <c r="C21" s="47">
        <v>4</v>
      </c>
      <c r="D21" s="47">
        <v>22</v>
      </c>
    </row>
    <row r="22" spans="2:4" ht="25.5" x14ac:dyDescent="0.2">
      <c r="B22" s="71" t="s">
        <v>603</v>
      </c>
    </row>
    <row r="23" spans="2:4" ht="40.15" customHeight="1" x14ac:dyDescent="0.2">
      <c r="B23" s="71" t="s">
        <v>604</v>
      </c>
    </row>
    <row r="24" spans="2:4" ht="25.5" x14ac:dyDescent="0.2">
      <c r="B24" s="72" t="s">
        <v>263</v>
      </c>
    </row>
    <row r="26" spans="2:4" ht="15" x14ac:dyDescent="0.25">
      <c r="B26" s="57" t="s">
        <v>264</v>
      </c>
      <c r="C26" s="68" t="s">
        <v>218</v>
      </c>
      <c r="D26" s="68" t="s">
        <v>219</v>
      </c>
    </row>
    <row r="27" spans="2:4" x14ac:dyDescent="0.2">
      <c r="B27" s="59" t="s">
        <v>265</v>
      </c>
      <c r="C27" s="60">
        <v>603</v>
      </c>
      <c r="D27" s="60">
        <v>505</v>
      </c>
    </row>
    <row r="28" spans="2:4" x14ac:dyDescent="0.2">
      <c r="B28" s="48" t="s">
        <v>221</v>
      </c>
      <c r="C28" s="47">
        <v>34</v>
      </c>
      <c r="D28" s="47">
        <v>29</v>
      </c>
    </row>
    <row r="29" spans="2:4" x14ac:dyDescent="0.2">
      <c r="B29" s="59" t="s">
        <v>266</v>
      </c>
      <c r="C29" s="60">
        <v>0</v>
      </c>
      <c r="D29" s="60">
        <v>0</v>
      </c>
    </row>
    <row r="30" spans="2:4" x14ac:dyDescent="0.2">
      <c r="B30" s="48" t="s">
        <v>267</v>
      </c>
      <c r="C30" s="47">
        <v>-37</v>
      </c>
      <c r="D30" s="47">
        <v>-7</v>
      </c>
    </row>
    <row r="31" spans="2:4" x14ac:dyDescent="0.2">
      <c r="B31" s="59" t="s">
        <v>268</v>
      </c>
      <c r="C31" s="60">
        <v>-28</v>
      </c>
      <c r="D31" s="60">
        <v>-22</v>
      </c>
    </row>
    <row r="32" spans="2:4" x14ac:dyDescent="0.2">
      <c r="B32" s="48" t="s">
        <v>225</v>
      </c>
      <c r="C32" s="47">
        <v>9</v>
      </c>
      <c r="D32" s="47">
        <v>4</v>
      </c>
    </row>
    <row r="33" spans="1:4" x14ac:dyDescent="0.2">
      <c r="B33" s="59" t="s">
        <v>257</v>
      </c>
      <c r="C33" s="60">
        <f>SUM(C27:C32)</f>
        <v>581</v>
      </c>
      <c r="D33" s="60">
        <f>SUM(D27:D32)</f>
        <v>509</v>
      </c>
    </row>
    <row r="34" spans="1:4" x14ac:dyDescent="0.2">
      <c r="B34" s="48" t="s">
        <v>252</v>
      </c>
      <c r="C34" s="73">
        <f>C33/C13</f>
        <v>0.33759442184776295</v>
      </c>
      <c r="D34" s="73">
        <f>D33/D13</f>
        <v>0.35273735273735274</v>
      </c>
    </row>
    <row r="37" spans="1:4" customFormat="1" ht="15" x14ac:dyDescent="0.25">
      <c r="A37" s="51" t="s">
        <v>143</v>
      </c>
    </row>
    <row r="38" spans="1:4" customFormat="1" x14ac:dyDescent="0.2"/>
    <row r="39" spans="1:4" customFormat="1" x14ac:dyDescent="0.2"/>
    <row r="40" spans="1:4" customFormat="1" x14ac:dyDescent="0.2"/>
    <row r="41" spans="1:4" customFormat="1" x14ac:dyDescent="0.2"/>
    <row r="42" spans="1:4" customFormat="1" x14ac:dyDescent="0.2"/>
    <row r="43" spans="1:4" customFormat="1" x14ac:dyDescent="0.2"/>
    <row r="44" spans="1:4" customFormat="1" x14ac:dyDescent="0.2"/>
    <row r="45" spans="1:4" customFormat="1" x14ac:dyDescent="0.2"/>
    <row r="46" spans="1:4" customFormat="1" x14ac:dyDescent="0.2"/>
    <row r="47" spans="1:4" customFormat="1" x14ac:dyDescent="0.2"/>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sheetData>
  <pageMargins left="0.75" right="0.75" top="1" bottom="1" header="0.5" footer="0.5"/>
  <pageSetup orientation="portrait" r:id="rId1"/>
  <headerFooter alignWithMargins="0">
    <oddFooter>&amp;L&amp;8© AMT Training 2008 - 2016</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35"/>
  <sheetViews>
    <sheetView showGridLines="0" zoomScaleNormal="100" workbookViewId="0">
      <pane ySplit="2" topLeftCell="A3" activePane="bottomLeft" state="frozen"/>
      <selection pane="bottomLeft" activeCell="E29" sqref="E29"/>
    </sheetView>
  </sheetViews>
  <sheetFormatPr defaultColWidth="9.140625" defaultRowHeight="12.75" x14ac:dyDescent="0.2"/>
  <cols>
    <col min="1" max="1" width="1.7109375" style="36" customWidth="1"/>
    <col min="2" max="2" width="9.7109375" style="36" bestFit="1" customWidth="1"/>
    <col min="3" max="3" width="17.42578125" style="36" bestFit="1" customWidth="1"/>
    <col min="4" max="4" width="10.140625" style="36" bestFit="1" customWidth="1"/>
    <col min="5" max="5" width="14.5703125" style="36" bestFit="1" customWidth="1"/>
    <col min="6" max="6" width="17.28515625" style="36" bestFit="1" customWidth="1"/>
    <col min="7" max="7" width="10.140625" style="36" bestFit="1" customWidth="1"/>
    <col min="8" max="9" width="9.5703125" style="36" bestFit="1"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6" s="3" customFormat="1" ht="30" x14ac:dyDescent="0.45">
      <c r="A1" s="9" t="str">
        <f>CoName2</f>
        <v>Current assets &amp; liabilities</v>
      </c>
      <c r="B1" s="74"/>
      <c r="C1" s="74"/>
      <c r="D1" s="75"/>
      <c r="E1" s="75"/>
      <c r="F1" s="75"/>
      <c r="G1" s="75"/>
      <c r="H1" s="75"/>
      <c r="I1" s="75"/>
      <c r="J1" s="75"/>
      <c r="K1" s="75"/>
      <c r="L1" s="75"/>
      <c r="M1" s="75"/>
      <c r="N1" s="75"/>
      <c r="O1" s="75"/>
      <c r="P1" s="75"/>
    </row>
    <row r="2" spans="1:16" s="3" customFormat="1" ht="19.5" thickBot="1" x14ac:dyDescent="0.35">
      <c r="A2" s="76" t="str">
        <f ca="1">"Question CAL #"&amp;RIGHT(CELL("filename",$A$1),LEN(CELL("filename",$A$1))-FIND("]",CELL("filename",$A$1))-5)</f>
        <v>Question CAL #1</v>
      </c>
      <c r="B2" s="77"/>
      <c r="C2" s="77"/>
      <c r="D2" s="78"/>
      <c r="E2" s="78"/>
      <c r="F2" s="78"/>
      <c r="G2" s="78"/>
      <c r="H2" s="78"/>
      <c r="I2" s="78"/>
      <c r="J2" s="78"/>
      <c r="K2" s="78"/>
      <c r="L2" s="78"/>
      <c r="M2" s="78"/>
      <c r="N2" s="78"/>
      <c r="O2" s="78"/>
      <c r="P2" s="78"/>
    </row>
    <row r="3" spans="1:16" ht="13.5" thickTop="1" x14ac:dyDescent="0.2"/>
    <row r="4" spans="1:16" x14ac:dyDescent="0.2">
      <c r="B4" s="28" t="s">
        <v>269</v>
      </c>
    </row>
    <row r="6" spans="1:16" ht="15" x14ac:dyDescent="0.25">
      <c r="B6" s="51" t="s">
        <v>270</v>
      </c>
      <c r="C6" s="51" t="s">
        <v>271</v>
      </c>
      <c r="D6" s="79" t="s">
        <v>272</v>
      </c>
      <c r="E6" s="79" t="s">
        <v>273</v>
      </c>
    </row>
    <row r="7" spans="1:16" x14ac:dyDescent="0.2">
      <c r="B7" s="80" t="s">
        <v>274</v>
      </c>
      <c r="C7" t="s">
        <v>275</v>
      </c>
      <c r="D7" s="39">
        <v>300</v>
      </c>
      <c r="E7" s="39">
        <v>10</v>
      </c>
    </row>
    <row r="8" spans="1:16" x14ac:dyDescent="0.2">
      <c r="B8" s="80" t="s">
        <v>276</v>
      </c>
      <c r="C8" t="s">
        <v>277</v>
      </c>
      <c r="D8" s="39">
        <v>800</v>
      </c>
      <c r="E8" s="39">
        <v>12</v>
      </c>
    </row>
    <row r="9" spans="1:16" x14ac:dyDescent="0.2">
      <c r="B9" s="80" t="s">
        <v>278</v>
      </c>
      <c r="C9" t="s">
        <v>277</v>
      </c>
      <c r="D9" s="39">
        <v>500</v>
      </c>
      <c r="E9" s="39">
        <v>14</v>
      </c>
    </row>
    <row r="10" spans="1:16" x14ac:dyDescent="0.2">
      <c r="B10"/>
      <c r="C10"/>
      <c r="D10" s="39"/>
      <c r="E10" s="39"/>
    </row>
    <row r="11" spans="1:16" x14ac:dyDescent="0.2">
      <c r="B11" s="80" t="s">
        <v>279</v>
      </c>
      <c r="C11" t="s">
        <v>280</v>
      </c>
      <c r="D11" s="39">
        <v>200</v>
      </c>
      <c r="E11" s="39">
        <v>24</v>
      </c>
    </row>
    <row r="12" spans="1:16" x14ac:dyDescent="0.2">
      <c r="B12" s="80" t="s">
        <v>281</v>
      </c>
      <c r="C12" t="s">
        <v>280</v>
      </c>
      <c r="D12" s="39">
        <v>500</v>
      </c>
      <c r="E12" s="39">
        <v>25</v>
      </c>
    </row>
    <row r="13" spans="1:16" x14ac:dyDescent="0.2">
      <c r="B13" s="80" t="s">
        <v>282</v>
      </c>
      <c r="C13" t="s">
        <v>280</v>
      </c>
      <c r="D13" s="39">
        <v>300</v>
      </c>
      <c r="E13" s="39">
        <v>26</v>
      </c>
    </row>
    <row r="19" spans="1:8" customFormat="1" ht="15" x14ac:dyDescent="0.25">
      <c r="A19" s="51" t="s">
        <v>143</v>
      </c>
    </row>
    <row r="20" spans="1:8" customFormat="1" x14ac:dyDescent="0.2">
      <c r="C20" s="36"/>
      <c r="D20" s="136" t="s">
        <v>636</v>
      </c>
      <c r="E20" s="136" t="s">
        <v>637</v>
      </c>
      <c r="F20" s="36"/>
    </row>
    <row r="21" spans="1:8" customFormat="1" x14ac:dyDescent="0.2">
      <c r="C21" t="s">
        <v>638</v>
      </c>
      <c r="D21" s="137">
        <f>300*10</f>
        <v>3000</v>
      </c>
      <c r="E21" s="137">
        <f>300*10</f>
        <v>3000</v>
      </c>
      <c r="F21" s="36"/>
    </row>
    <row r="22" spans="1:8" customFormat="1" x14ac:dyDescent="0.2">
      <c r="C22" t="s">
        <v>639</v>
      </c>
      <c r="D22" s="137">
        <f>800*12+500*14</f>
        <v>16600</v>
      </c>
      <c r="E22" s="137">
        <f>800*12+500*14</f>
        <v>16600</v>
      </c>
      <c r="H22" s="36"/>
    </row>
    <row r="23" spans="1:8" customFormat="1" x14ac:dyDescent="0.2">
      <c r="E23" s="36"/>
      <c r="H23" s="36"/>
    </row>
    <row r="24" spans="1:8" customFormat="1" x14ac:dyDescent="0.2"/>
    <row r="25" spans="1:8" customFormat="1" x14ac:dyDescent="0.2">
      <c r="C25" t="s">
        <v>25</v>
      </c>
      <c r="D25" s="137">
        <f>SUMPRODUCT($D$11:$D$13,$E$11:$E$13)</f>
        <v>25100</v>
      </c>
      <c r="E25" s="137">
        <f>SUMPRODUCT($D$11:$D$13,$E$11:$E$13)</f>
        <v>25100</v>
      </c>
    </row>
    <row r="26" spans="1:8" customFormat="1" x14ac:dyDescent="0.2">
      <c r="C26" t="s">
        <v>303</v>
      </c>
      <c r="D26" s="137">
        <f>(500*14)+(500*12)</f>
        <v>13000</v>
      </c>
      <c r="E26" s="137">
        <f>(300*10)+(700*12)</f>
        <v>11400</v>
      </c>
    </row>
    <row r="27" spans="1:8" customFormat="1" x14ac:dyDescent="0.2">
      <c r="C27" t="s">
        <v>640</v>
      </c>
      <c r="D27" s="137">
        <f>D25-D26</f>
        <v>12100</v>
      </c>
      <c r="E27" s="137">
        <f>E25-E26</f>
        <v>13700</v>
      </c>
    </row>
    <row r="28" spans="1:8" customFormat="1" x14ac:dyDescent="0.2">
      <c r="D28" s="137"/>
      <c r="E28" s="137"/>
    </row>
    <row r="29" spans="1:8" customFormat="1" x14ac:dyDescent="0.2">
      <c r="C29" t="s">
        <v>641</v>
      </c>
      <c r="D29" s="137">
        <f>D21+D22-D26</f>
        <v>6600</v>
      </c>
      <c r="E29" s="137">
        <f>E21+E22-E26</f>
        <v>8200</v>
      </c>
    </row>
    <row r="30" spans="1:8" customFormat="1" x14ac:dyDescent="0.2"/>
    <row r="31" spans="1:8" customFormat="1" x14ac:dyDescent="0.2"/>
    <row r="32" spans="1:8"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P154"/>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36" customWidth="1"/>
    <col min="2" max="2" width="33.5703125" style="36" bestFit="1" customWidth="1"/>
    <col min="3" max="3" width="10.7109375" style="36" bestFit="1" customWidth="1"/>
    <col min="4" max="4" width="10.140625" style="36" bestFit="1" customWidth="1"/>
    <col min="5" max="5" width="9.140625" style="36"/>
    <col min="6" max="6" width="17.28515625" style="36" bestFit="1" customWidth="1"/>
    <col min="7" max="7" width="10.140625" style="36" bestFit="1" customWidth="1"/>
    <col min="8" max="9" width="9.5703125" style="36" bestFit="1"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6" s="3" customFormat="1" ht="30" x14ac:dyDescent="0.45">
      <c r="A1" s="9" t="str">
        <f>CoName2</f>
        <v>Current assets &amp; liabilities</v>
      </c>
      <c r="B1" s="74"/>
      <c r="C1" s="74"/>
      <c r="D1" s="75"/>
      <c r="E1" s="75"/>
      <c r="F1" s="75"/>
      <c r="G1" s="75"/>
      <c r="H1" s="75"/>
      <c r="I1" s="75"/>
      <c r="J1" s="75"/>
      <c r="K1" s="75"/>
      <c r="L1" s="75"/>
      <c r="M1" s="75"/>
      <c r="N1" s="75"/>
      <c r="O1" s="75"/>
      <c r="P1" s="75"/>
    </row>
    <row r="2" spans="1:16" s="3" customFormat="1" ht="19.5" thickBot="1" x14ac:dyDescent="0.35">
      <c r="A2" s="76" t="str">
        <f ca="1">"Question CAL #"&amp;RIGHT(CELL("filename",$A$1),LEN(CELL("filename",$A$1))-FIND("]",CELL("filename",$A$1))-5)</f>
        <v>Question CAL #2</v>
      </c>
      <c r="B2" s="77"/>
      <c r="C2" s="77"/>
      <c r="D2" s="78"/>
      <c r="E2" s="78"/>
      <c r="F2" s="78"/>
      <c r="G2" s="78"/>
      <c r="H2" s="78"/>
      <c r="I2" s="78"/>
      <c r="J2" s="78"/>
      <c r="K2" s="78"/>
      <c r="L2" s="78"/>
      <c r="M2" s="78"/>
      <c r="N2" s="78"/>
      <c r="O2" s="78"/>
      <c r="P2" s="78"/>
    </row>
    <row r="3" spans="1:16" ht="13.5" thickTop="1" x14ac:dyDescent="0.2"/>
    <row r="4" spans="1:16" x14ac:dyDescent="0.2">
      <c r="B4" s="38" t="s">
        <v>283</v>
      </c>
    </row>
    <row r="6" spans="1:16" ht="15" x14ac:dyDescent="0.25">
      <c r="B6" s="81" t="s">
        <v>107</v>
      </c>
      <c r="C6" s="79" t="s">
        <v>219</v>
      </c>
      <c r="D6" s="79" t="s">
        <v>218</v>
      </c>
    </row>
    <row r="7" spans="1:16" x14ac:dyDescent="0.2">
      <c r="B7" t="s">
        <v>284</v>
      </c>
      <c r="C7" s="39">
        <v>2020</v>
      </c>
      <c r="D7" s="39">
        <v>1764</v>
      </c>
    </row>
    <row r="8" spans="1:16" x14ac:dyDescent="0.2">
      <c r="B8" t="s">
        <v>285</v>
      </c>
      <c r="C8" s="39">
        <v>48</v>
      </c>
      <c r="D8" s="39">
        <v>47</v>
      </c>
    </row>
    <row r="9" spans="1:16" x14ac:dyDescent="0.2">
      <c r="B9" t="s">
        <v>286</v>
      </c>
      <c r="C9" s="39">
        <v>3064</v>
      </c>
      <c r="D9" s="39">
        <v>3145</v>
      </c>
    </row>
    <row r="10" spans="1:16" x14ac:dyDescent="0.2">
      <c r="B10" t="s">
        <v>108</v>
      </c>
      <c r="C10" s="39">
        <v>1480</v>
      </c>
      <c r="D10" s="39">
        <v>1660</v>
      </c>
    </row>
    <row r="11" spans="1:16" x14ac:dyDescent="0.2">
      <c r="B11" t="s">
        <v>287</v>
      </c>
      <c r="C11" s="39">
        <v>711</v>
      </c>
      <c r="D11" s="39">
        <v>520</v>
      </c>
    </row>
    <row r="12" spans="1:16" x14ac:dyDescent="0.2">
      <c r="B12" t="s">
        <v>225</v>
      </c>
      <c r="C12" s="39">
        <v>360</v>
      </c>
      <c r="D12" s="39">
        <v>173</v>
      </c>
    </row>
    <row r="13" spans="1:16" s="38" customFormat="1" x14ac:dyDescent="0.2">
      <c r="B13" s="28" t="s">
        <v>69</v>
      </c>
      <c r="C13" s="38">
        <f>SUM(C7:C12)</f>
        <v>7683</v>
      </c>
      <c r="D13" s="38">
        <f t="shared" ref="D13" si="0">SUM(D7:D12)</f>
        <v>7309</v>
      </c>
    </row>
    <row r="14" spans="1:16" x14ac:dyDescent="0.2">
      <c r="B14" t="s">
        <v>57</v>
      </c>
      <c r="C14" s="39">
        <v>5292</v>
      </c>
      <c r="D14" s="39">
        <v>5377</v>
      </c>
    </row>
    <row r="15" spans="1:16" x14ac:dyDescent="0.2">
      <c r="B15" t="s">
        <v>288</v>
      </c>
      <c r="C15" s="39">
        <v>616</v>
      </c>
      <c r="D15" s="39">
        <v>536</v>
      </c>
    </row>
    <row r="16" spans="1:16" x14ac:dyDescent="0.2">
      <c r="B16" t="s">
        <v>61</v>
      </c>
      <c r="C16" s="39">
        <v>872</v>
      </c>
      <c r="D16" s="39">
        <v>911</v>
      </c>
    </row>
    <row r="17" spans="2:4" x14ac:dyDescent="0.2">
      <c r="B17" t="s">
        <v>289</v>
      </c>
      <c r="C17" s="39">
        <v>505</v>
      </c>
      <c r="D17" s="39">
        <v>344</v>
      </c>
    </row>
    <row r="18" spans="2:4" s="38" customFormat="1" x14ac:dyDescent="0.2">
      <c r="B18" s="28" t="s">
        <v>37</v>
      </c>
      <c r="C18" s="38">
        <f>SUM(C13:C17)</f>
        <v>14968</v>
      </c>
      <c r="D18" s="38">
        <f>SUM(D13:D17)</f>
        <v>14477</v>
      </c>
    </row>
    <row r="19" spans="2:4" s="38" customFormat="1" x14ac:dyDescent="0.2">
      <c r="B19" s="28"/>
    </row>
    <row r="20" spans="2:4" x14ac:dyDescent="0.2">
      <c r="B20" t="s">
        <v>58</v>
      </c>
      <c r="C20" s="39">
        <v>3398</v>
      </c>
      <c r="D20" s="39">
        <v>3327</v>
      </c>
    </row>
    <row r="21" spans="2:4" x14ac:dyDescent="0.2">
      <c r="B21" t="s">
        <v>290</v>
      </c>
      <c r="C21" s="39">
        <v>371</v>
      </c>
      <c r="D21" s="39">
        <v>586</v>
      </c>
    </row>
    <row r="22" spans="2:4" x14ac:dyDescent="0.2">
      <c r="B22" t="s">
        <v>291</v>
      </c>
      <c r="C22" s="39">
        <v>1701</v>
      </c>
      <c r="D22" s="39">
        <v>567</v>
      </c>
    </row>
    <row r="23" spans="2:4" x14ac:dyDescent="0.2">
      <c r="B23" t="s">
        <v>292</v>
      </c>
      <c r="C23" s="39">
        <v>136</v>
      </c>
      <c r="D23" s="39">
        <v>137</v>
      </c>
    </row>
    <row r="24" spans="2:4" x14ac:dyDescent="0.2">
      <c r="B24" t="s">
        <v>293</v>
      </c>
      <c r="C24" s="39">
        <v>129</v>
      </c>
      <c r="D24" s="39">
        <v>26</v>
      </c>
    </row>
    <row r="25" spans="2:4" s="38" customFormat="1" x14ac:dyDescent="0.2">
      <c r="B25" s="28" t="s">
        <v>71</v>
      </c>
      <c r="C25" s="38">
        <f>SUM(C20:C24)</f>
        <v>5735</v>
      </c>
      <c r="D25" s="38">
        <f>SUM(D20:D24)</f>
        <v>4643</v>
      </c>
    </row>
    <row r="26" spans="2:4" x14ac:dyDescent="0.2">
      <c r="B26" t="s">
        <v>294</v>
      </c>
      <c r="C26" s="39">
        <v>660</v>
      </c>
      <c r="D26" s="39">
        <v>665</v>
      </c>
    </row>
    <row r="27" spans="2:4" x14ac:dyDescent="0.2">
      <c r="B27" t="s">
        <v>295</v>
      </c>
      <c r="C27" s="39">
        <v>3671</v>
      </c>
      <c r="D27" s="39">
        <v>3247</v>
      </c>
    </row>
    <row r="28" spans="2:4" x14ac:dyDescent="0.2">
      <c r="B28" t="s">
        <v>73</v>
      </c>
      <c r="C28" s="39">
        <v>790</v>
      </c>
      <c r="D28" s="39">
        <v>704</v>
      </c>
    </row>
    <row r="29" spans="2:4" x14ac:dyDescent="0.2">
      <c r="B29" t="s">
        <v>296</v>
      </c>
      <c r="C29" s="39">
        <v>95</v>
      </c>
      <c r="D29" s="39">
        <v>97</v>
      </c>
    </row>
    <row r="30" spans="2:4" s="38" customFormat="1" x14ac:dyDescent="0.2">
      <c r="B30" s="28" t="s">
        <v>74</v>
      </c>
      <c r="C30" s="38">
        <f>SUM(C25:C29)</f>
        <v>10951</v>
      </c>
      <c r="D30" s="38">
        <f>SUM(D25:D29)</f>
        <v>9356</v>
      </c>
    </row>
    <row r="31" spans="2:4" x14ac:dyDescent="0.2">
      <c r="B31" t="s">
        <v>9</v>
      </c>
      <c r="C31" s="39">
        <v>966</v>
      </c>
      <c r="D31" s="39">
        <v>974</v>
      </c>
    </row>
    <row r="32" spans="2:4" x14ac:dyDescent="0.2">
      <c r="B32" t="s">
        <v>297</v>
      </c>
      <c r="C32" s="39">
        <v>523</v>
      </c>
      <c r="D32" s="39">
        <v>896</v>
      </c>
    </row>
    <row r="33" spans="1:4" x14ac:dyDescent="0.2">
      <c r="B33" t="s">
        <v>10</v>
      </c>
      <c r="C33" s="39">
        <v>4485</v>
      </c>
      <c r="D33" s="39">
        <v>5184</v>
      </c>
    </row>
    <row r="34" spans="1:4" x14ac:dyDescent="0.2">
      <c r="B34" t="s">
        <v>298</v>
      </c>
      <c r="C34" s="39">
        <v>-1957</v>
      </c>
      <c r="D34" s="39">
        <v>-1933</v>
      </c>
    </row>
    <row r="35" spans="1:4" s="38" customFormat="1" x14ac:dyDescent="0.2">
      <c r="B35" s="28" t="s">
        <v>299</v>
      </c>
      <c r="C35" s="38">
        <f>SUM(C31:C34)</f>
        <v>4017</v>
      </c>
      <c r="D35" s="38">
        <f>SUM(D31:D34)</f>
        <v>5121</v>
      </c>
    </row>
    <row r="36" spans="1:4" s="38" customFormat="1" x14ac:dyDescent="0.2">
      <c r="B36" s="28" t="s">
        <v>76</v>
      </c>
      <c r="C36" s="38">
        <f>SUM(C30,C35)</f>
        <v>14968</v>
      </c>
      <c r="D36" s="38">
        <f t="shared" ref="D36" si="1">SUM(D30,D35)</f>
        <v>14477</v>
      </c>
    </row>
    <row r="38" spans="1:4" customFormat="1" ht="15" x14ac:dyDescent="0.25">
      <c r="A38" s="51" t="s">
        <v>143</v>
      </c>
    </row>
    <row r="39" spans="1:4" customFormat="1" x14ac:dyDescent="0.2"/>
    <row r="40" spans="1:4" customFormat="1" x14ac:dyDescent="0.2"/>
    <row r="41" spans="1:4" customFormat="1" x14ac:dyDescent="0.2"/>
    <row r="42" spans="1:4" customFormat="1" x14ac:dyDescent="0.2"/>
    <row r="43" spans="1:4" customFormat="1" x14ac:dyDescent="0.2"/>
    <row r="44" spans="1:4" customFormat="1" x14ac:dyDescent="0.2"/>
    <row r="45" spans="1:4" customFormat="1" x14ac:dyDescent="0.2"/>
    <row r="46" spans="1:4" customFormat="1" x14ac:dyDescent="0.2"/>
    <row r="47" spans="1:4" customFormat="1" x14ac:dyDescent="0.2"/>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sheetData>
  <pageMargins left="0.75" right="0.75" top="1" bottom="1" header="0.5" footer="0.5"/>
  <pageSetup orientation="portrait" r:id="rId1"/>
  <headerFooter alignWithMargins="0">
    <oddFooter>&amp;L&amp;8© AMT Training 2008 - 2016</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176"/>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36" customWidth="1"/>
    <col min="2" max="2" width="33.5703125" style="36" bestFit="1" customWidth="1"/>
    <col min="3" max="3" width="10.7109375" style="36" bestFit="1" customWidth="1"/>
    <col min="4" max="4" width="10.140625" style="36" bestFit="1" customWidth="1"/>
    <col min="5" max="5" width="9.140625" style="36"/>
    <col min="6" max="6" width="17.28515625" style="36" bestFit="1" customWidth="1"/>
    <col min="7" max="7" width="10.140625" style="36" bestFit="1" customWidth="1"/>
    <col min="8" max="9" width="9.5703125" style="36" bestFit="1"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6" s="3" customFormat="1" ht="30" x14ac:dyDescent="0.45">
      <c r="A1" s="9" t="str">
        <f>CoName2</f>
        <v>Current assets &amp; liabilities</v>
      </c>
      <c r="B1" s="74"/>
      <c r="C1" s="74"/>
      <c r="D1" s="75"/>
      <c r="E1" s="75"/>
      <c r="F1" s="75"/>
      <c r="G1" s="75"/>
      <c r="H1" s="75"/>
      <c r="I1" s="75"/>
      <c r="J1" s="75"/>
      <c r="K1" s="75"/>
      <c r="L1" s="75"/>
      <c r="M1" s="75"/>
      <c r="N1" s="75"/>
      <c r="O1" s="75"/>
      <c r="P1" s="75"/>
    </row>
    <row r="2" spans="1:16" s="3" customFormat="1" ht="19.5" thickBot="1" x14ac:dyDescent="0.35">
      <c r="A2" s="76" t="str">
        <f ca="1">"Question CAL #"&amp;RIGHT(CELL("filename",$A$1),LEN(CELL("filename",$A$1))-FIND("]",CELL("filename",$A$1))-5)</f>
        <v>Question CAL #3</v>
      </c>
      <c r="B2" s="77"/>
      <c r="C2" s="77"/>
      <c r="D2" s="78"/>
      <c r="E2" s="78"/>
      <c r="F2" s="78"/>
      <c r="G2" s="78"/>
      <c r="H2" s="78"/>
      <c r="I2" s="78"/>
      <c r="J2" s="78"/>
      <c r="K2" s="78"/>
      <c r="L2" s="78"/>
      <c r="M2" s="78"/>
      <c r="N2" s="78"/>
      <c r="O2" s="78"/>
      <c r="P2" s="78"/>
    </row>
    <row r="3" spans="1:16" ht="13.5" thickTop="1" x14ac:dyDescent="0.2"/>
    <row r="4" spans="1:16" x14ac:dyDescent="0.2">
      <c r="B4" s="82" t="s">
        <v>300</v>
      </c>
    </row>
    <row r="5" spans="1:16" x14ac:dyDescent="0.2">
      <c r="B5" s="38" t="s">
        <v>301</v>
      </c>
    </row>
    <row r="6" spans="1:16" x14ac:dyDescent="0.2">
      <c r="B6" s="38" t="s">
        <v>302</v>
      </c>
    </row>
    <row r="8" spans="1:16" ht="15" x14ac:dyDescent="0.25">
      <c r="C8" s="79" t="s">
        <v>219</v>
      </c>
      <c r="D8" s="79" t="s">
        <v>218</v>
      </c>
    </row>
    <row r="9" spans="1:16" x14ac:dyDescent="0.2">
      <c r="B9" t="s">
        <v>25</v>
      </c>
      <c r="C9" s="39">
        <v>24516</v>
      </c>
      <c r="D9" s="39">
        <v>30219</v>
      </c>
    </row>
    <row r="10" spans="1:16" x14ac:dyDescent="0.2">
      <c r="B10" t="s">
        <v>303</v>
      </c>
      <c r="C10" s="39">
        <v>13484</v>
      </c>
      <c r="D10" s="39">
        <v>16016</v>
      </c>
    </row>
    <row r="11" spans="1:16" x14ac:dyDescent="0.2">
      <c r="B11"/>
    </row>
    <row r="12" spans="1:16" x14ac:dyDescent="0.2">
      <c r="B12" t="s">
        <v>284</v>
      </c>
      <c r="C12" s="39">
        <v>172</v>
      </c>
      <c r="D12" s="39">
        <v>62</v>
      </c>
    </row>
    <row r="13" spans="1:16" x14ac:dyDescent="0.2">
      <c r="B13" t="s">
        <v>304</v>
      </c>
      <c r="C13" s="39">
        <v>2</v>
      </c>
      <c r="D13" s="39">
        <v>0</v>
      </c>
    </row>
    <row r="14" spans="1:16" x14ac:dyDescent="0.2">
      <c r="B14" t="s">
        <v>305</v>
      </c>
      <c r="C14" s="39">
        <v>556</v>
      </c>
      <c r="D14" s="39">
        <v>469</v>
      </c>
    </row>
    <row r="15" spans="1:16" x14ac:dyDescent="0.2">
      <c r="B15" t="s">
        <v>108</v>
      </c>
      <c r="C15" s="39">
        <v>3602</v>
      </c>
      <c r="D15" s="39">
        <v>4293</v>
      </c>
    </row>
    <row r="16" spans="1:16" x14ac:dyDescent="0.2">
      <c r="B16" t="s">
        <v>59</v>
      </c>
      <c r="C16" s="39">
        <v>128</v>
      </c>
      <c r="D16" s="39">
        <v>109</v>
      </c>
    </row>
    <row r="17" spans="1:4" s="38" customFormat="1" x14ac:dyDescent="0.2">
      <c r="B17" t="s">
        <v>69</v>
      </c>
      <c r="C17" s="38">
        <f>SUM(C12:C16)</f>
        <v>4460</v>
      </c>
      <c r="D17" s="38">
        <f t="shared" ref="D17" si="0">SUM(D12:D16)</f>
        <v>4933</v>
      </c>
    </row>
    <row r="18" spans="1:4" x14ac:dyDescent="0.2">
      <c r="B18"/>
    </row>
    <row r="19" spans="1:4" x14ac:dyDescent="0.2">
      <c r="B19" t="s">
        <v>58</v>
      </c>
      <c r="C19" s="39">
        <v>1358</v>
      </c>
      <c r="D19" s="39">
        <v>1586</v>
      </c>
    </row>
    <row r="20" spans="1:4" x14ac:dyDescent="0.2">
      <c r="B20" t="s">
        <v>306</v>
      </c>
      <c r="C20" s="39">
        <v>312</v>
      </c>
      <c r="D20" s="39">
        <v>395</v>
      </c>
    </row>
    <row r="21" spans="1:4" x14ac:dyDescent="0.2">
      <c r="B21" t="s">
        <v>307</v>
      </c>
      <c r="C21" s="39">
        <v>143</v>
      </c>
      <c r="D21" s="39">
        <v>176</v>
      </c>
    </row>
    <row r="22" spans="1:4" x14ac:dyDescent="0.2">
      <c r="B22" t="s">
        <v>308</v>
      </c>
      <c r="C22" s="39">
        <v>530</v>
      </c>
      <c r="D22" s="39">
        <v>586</v>
      </c>
    </row>
    <row r="23" spans="1:4" x14ac:dyDescent="0.2">
      <c r="B23" t="s">
        <v>309</v>
      </c>
      <c r="C23" s="39">
        <v>105</v>
      </c>
      <c r="D23" s="39">
        <v>100</v>
      </c>
    </row>
    <row r="24" spans="1:4" x14ac:dyDescent="0.2">
      <c r="B24" t="s">
        <v>310</v>
      </c>
      <c r="C24" s="39">
        <v>8</v>
      </c>
      <c r="D24" s="39">
        <v>14</v>
      </c>
    </row>
    <row r="25" spans="1:4" s="38" customFormat="1" x14ac:dyDescent="0.2">
      <c r="B25" t="s">
        <v>71</v>
      </c>
      <c r="C25" s="38">
        <f>SUM(C19:C24)</f>
        <v>2456</v>
      </c>
      <c r="D25" s="38">
        <f>SUM(D19:D24)</f>
        <v>2857</v>
      </c>
    </row>
    <row r="26" spans="1:4" x14ac:dyDescent="0.2">
      <c r="B26"/>
    </row>
    <row r="27" spans="1:4" ht="15" x14ac:dyDescent="0.25">
      <c r="A27" s="81" t="s">
        <v>311</v>
      </c>
    </row>
    <row r="28" spans="1:4" x14ac:dyDescent="0.2">
      <c r="B28"/>
    </row>
    <row r="29" spans="1:4" ht="15" x14ac:dyDescent="0.25">
      <c r="B29"/>
      <c r="C29" s="79" t="s">
        <v>219</v>
      </c>
      <c r="D29" s="79" t="s">
        <v>218</v>
      </c>
    </row>
    <row r="30" spans="1:4" x14ac:dyDescent="0.2">
      <c r="B30" t="s">
        <v>312</v>
      </c>
      <c r="C30" s="83"/>
      <c r="D30" s="83"/>
    </row>
    <row r="31" spans="1:4" x14ac:dyDescent="0.2">
      <c r="B31" t="s">
        <v>313</v>
      </c>
      <c r="C31" s="83"/>
      <c r="D31" s="83"/>
    </row>
    <row r="32" spans="1:4" x14ac:dyDescent="0.2">
      <c r="B32" t="s">
        <v>314</v>
      </c>
      <c r="C32" s="84"/>
      <c r="D32" s="84"/>
    </row>
    <row r="33" spans="1:5" x14ac:dyDescent="0.2">
      <c r="B33" t="s">
        <v>315</v>
      </c>
      <c r="C33" s="83"/>
      <c r="D33" s="83"/>
    </row>
    <row r="34" spans="1:5" x14ac:dyDescent="0.2">
      <c r="B34" t="s">
        <v>316</v>
      </c>
      <c r="C34" s="83"/>
      <c r="D34" s="83"/>
    </row>
    <row r="35" spans="1:5" x14ac:dyDescent="0.2">
      <c r="B35" t="s">
        <v>317</v>
      </c>
      <c r="C35" s="83"/>
      <c r="D35" s="83"/>
    </row>
    <row r="36" spans="1:5" x14ac:dyDescent="0.2">
      <c r="B36"/>
    </row>
    <row r="37" spans="1:5" ht="15" x14ac:dyDescent="0.25">
      <c r="A37" s="81" t="s">
        <v>318</v>
      </c>
    </row>
    <row r="38" spans="1:5" x14ac:dyDescent="0.2">
      <c r="B38"/>
    </row>
    <row r="39" spans="1:5" ht="15" x14ac:dyDescent="0.25">
      <c r="B39"/>
      <c r="C39" s="79" t="s">
        <v>219</v>
      </c>
      <c r="D39" s="79" t="s">
        <v>218</v>
      </c>
      <c r="E39" s="79" t="s">
        <v>217</v>
      </c>
    </row>
    <row r="40" spans="1:5" x14ac:dyDescent="0.2">
      <c r="B40" t="s">
        <v>319</v>
      </c>
      <c r="D40" s="84"/>
      <c r="E40" s="25">
        <v>0.1</v>
      </c>
    </row>
    <row r="41" spans="1:5" x14ac:dyDescent="0.2">
      <c r="B41" t="s">
        <v>320</v>
      </c>
      <c r="C41" s="83"/>
      <c r="D41" s="83"/>
      <c r="E41" s="83"/>
    </row>
    <row r="42" spans="1:5" x14ac:dyDescent="0.2">
      <c r="B42" t="s">
        <v>321</v>
      </c>
      <c r="C42" s="84"/>
      <c r="D42" s="84"/>
      <c r="E42" s="85">
        <f>D42</f>
        <v>0</v>
      </c>
    </row>
    <row r="43" spans="1:5" x14ac:dyDescent="0.2">
      <c r="B43" t="s">
        <v>313</v>
      </c>
      <c r="C43" s="83"/>
      <c r="D43" s="83"/>
      <c r="E43" s="83"/>
    </row>
    <row r="44" spans="1:5" x14ac:dyDescent="0.2">
      <c r="B44"/>
    </row>
    <row r="45" spans="1:5" ht="15" x14ac:dyDescent="0.25">
      <c r="A45" s="81" t="s">
        <v>322</v>
      </c>
    </row>
    <row r="46" spans="1:5" x14ac:dyDescent="0.2">
      <c r="B46"/>
    </row>
    <row r="47" spans="1:5" ht="15" x14ac:dyDescent="0.25">
      <c r="B47"/>
      <c r="C47" s="79" t="s">
        <v>219</v>
      </c>
      <c r="D47" s="79" t="s">
        <v>218</v>
      </c>
      <c r="E47" s="79" t="s">
        <v>217</v>
      </c>
    </row>
    <row r="48" spans="1:5" x14ac:dyDescent="0.2">
      <c r="B48" t="s">
        <v>323</v>
      </c>
      <c r="D48" s="83"/>
      <c r="E48" s="83"/>
    </row>
    <row r="49" spans="1:5" x14ac:dyDescent="0.2">
      <c r="B49"/>
    </row>
    <row r="50" spans="1:5" ht="15" x14ac:dyDescent="0.25">
      <c r="A50" s="81" t="s">
        <v>324</v>
      </c>
    </row>
    <row r="51" spans="1:5" x14ac:dyDescent="0.2">
      <c r="B51"/>
    </row>
    <row r="52" spans="1:5" ht="15" x14ac:dyDescent="0.25">
      <c r="B52"/>
      <c r="C52" s="79" t="s">
        <v>219</v>
      </c>
      <c r="D52" s="79" t="s">
        <v>218</v>
      </c>
      <c r="E52" s="79" t="s">
        <v>217</v>
      </c>
    </row>
    <row r="53" spans="1:5" x14ac:dyDescent="0.2">
      <c r="B53" t="s">
        <v>319</v>
      </c>
      <c r="D53" s="84"/>
      <c r="E53" s="25">
        <v>-0.1</v>
      </c>
    </row>
    <row r="54" spans="1:5" x14ac:dyDescent="0.2">
      <c r="B54" t="s">
        <v>320</v>
      </c>
      <c r="C54" s="83"/>
      <c r="D54" s="83"/>
      <c r="E54" s="83"/>
    </row>
    <row r="55" spans="1:5" x14ac:dyDescent="0.2">
      <c r="B55" t="s">
        <v>321</v>
      </c>
      <c r="C55" s="84"/>
      <c r="D55" s="84"/>
      <c r="E55" s="85">
        <f>D55</f>
        <v>0</v>
      </c>
    </row>
    <row r="56" spans="1:5" x14ac:dyDescent="0.2">
      <c r="B56" t="s">
        <v>313</v>
      </c>
      <c r="C56" s="83"/>
      <c r="D56" s="83"/>
      <c r="E56" s="83"/>
    </row>
    <row r="57" spans="1:5" x14ac:dyDescent="0.2">
      <c r="B57"/>
    </row>
    <row r="58" spans="1:5" ht="15" x14ac:dyDescent="0.25">
      <c r="A58" s="81" t="s">
        <v>322</v>
      </c>
    </row>
    <row r="59" spans="1:5" x14ac:dyDescent="0.2">
      <c r="B59"/>
    </row>
    <row r="60" spans="1:5" ht="15" x14ac:dyDescent="0.25">
      <c r="B60"/>
      <c r="C60" s="79" t="s">
        <v>219</v>
      </c>
      <c r="D60" s="79" t="s">
        <v>218</v>
      </c>
      <c r="E60" s="79" t="s">
        <v>217</v>
      </c>
    </row>
    <row r="61" spans="1:5" x14ac:dyDescent="0.2">
      <c r="B61" t="s">
        <v>323</v>
      </c>
      <c r="D61" s="83"/>
      <c r="E61" s="83"/>
    </row>
    <row r="62" spans="1:5" customFormat="1" x14ac:dyDescent="0.2"/>
    <row r="63" spans="1:5" customFormat="1" x14ac:dyDescent="0.2"/>
    <row r="64" spans="1:5"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sheetData>
  <pageMargins left="0.75" right="0.75" top="1" bottom="1" header="0.5" footer="0.5"/>
  <pageSetup orientation="portrait" r:id="rId1"/>
  <headerFooter alignWithMargins="0">
    <oddFooter>&amp;L&amp;8© AMT Training 2008 - 2016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8"/>
  <sheetViews>
    <sheetView showGridLines="0" zoomScaleNormal="100" workbookViewId="0">
      <pane ySplit="2" topLeftCell="A3" activePane="bottomLeft" state="frozen"/>
      <selection pane="bottomLeft" activeCell="C17" sqref="C17"/>
    </sheetView>
  </sheetViews>
  <sheetFormatPr defaultColWidth="9.28515625" defaultRowHeight="12.75" x14ac:dyDescent="0.2"/>
  <cols>
    <col min="1" max="1" width="1.7109375" style="14" customWidth="1"/>
    <col min="2" max="2" width="9.7109375" style="14" bestFit="1" customWidth="1"/>
    <col min="3" max="3" width="10.7109375" style="14" bestFit="1" customWidth="1"/>
    <col min="4" max="4" width="10.28515625" style="14" bestFit="1" customWidth="1"/>
    <col min="5" max="5" width="9.28515625" style="14"/>
    <col min="6" max="6" width="17.28515625" style="14" bestFit="1" customWidth="1"/>
    <col min="7" max="7" width="10.28515625" style="14" bestFit="1" customWidth="1"/>
    <col min="8" max="9" width="9.5703125" style="14" bestFit="1" customWidth="1"/>
    <col min="10" max="11" width="9.28515625" style="14"/>
    <col min="12" max="12" width="9.5703125" style="14" bestFit="1" customWidth="1"/>
    <col min="13" max="13" width="10.28515625" style="14" bestFit="1" customWidth="1"/>
    <col min="14" max="14" width="9.5703125" style="14" bestFit="1" customWidth="1"/>
    <col min="15" max="15" width="9.28515625" style="14"/>
    <col min="16" max="16" width="9.5703125" style="14" bestFit="1" customWidth="1"/>
    <col min="17" max="17" width="9.28515625" style="14"/>
    <col min="18" max="18" width="9.5703125" style="14" bestFit="1" customWidth="1"/>
    <col min="19" max="19" width="10.28515625" style="14" bestFit="1" customWidth="1"/>
    <col min="20" max="16384" width="9.28515625" style="14"/>
  </cols>
  <sheetData>
    <row r="1" spans="1:10" ht="30" x14ac:dyDescent="0.45">
      <c r="A1" s="9" t="str">
        <f>CoName</f>
        <v>Accounting fundamentals</v>
      </c>
      <c r="B1" s="10"/>
      <c r="C1" s="10"/>
      <c r="D1" s="11"/>
      <c r="E1" s="11"/>
      <c r="F1" s="11"/>
      <c r="G1" s="11"/>
      <c r="H1" s="11"/>
      <c r="I1" s="11"/>
      <c r="J1" s="11"/>
    </row>
    <row r="2" spans="1:10" ht="19.5" thickBot="1" x14ac:dyDescent="0.35">
      <c r="A2" s="5" t="str">
        <f ca="1">"Question AF #"&amp;RIGHT(CELL("filename",$A$1),LEN(CELL("filename",$A$1))-FIND("]",CELL("filename",$A$1))-4)</f>
        <v>Question AF #2</v>
      </c>
      <c r="B2" s="12"/>
      <c r="C2" s="12"/>
      <c r="D2" s="13"/>
      <c r="E2" s="13"/>
      <c r="F2" s="13"/>
      <c r="G2" s="13"/>
      <c r="H2" s="13"/>
      <c r="I2" s="13"/>
      <c r="J2" s="13"/>
    </row>
    <row r="3" spans="1:10" ht="13.5" thickTop="1" x14ac:dyDescent="0.2"/>
    <row r="4" spans="1:10" s="16" customFormat="1" x14ac:dyDescent="0.2">
      <c r="B4" s="23" t="s">
        <v>81</v>
      </c>
    </row>
    <row r="6" spans="1:10" x14ac:dyDescent="0.2">
      <c r="C6" s="14" t="s">
        <v>82</v>
      </c>
      <c r="D6" s="14" t="s">
        <v>86</v>
      </c>
    </row>
    <row r="7" spans="1:10" x14ac:dyDescent="0.2">
      <c r="C7" s="14" t="s">
        <v>83</v>
      </c>
      <c r="D7" s="14" t="s">
        <v>98</v>
      </c>
    </row>
    <row r="8" spans="1:10" x14ac:dyDescent="0.2">
      <c r="C8" s="14" t="s">
        <v>84</v>
      </c>
      <c r="D8" s="14" t="s">
        <v>87</v>
      </c>
    </row>
    <row r="9" spans="1:10" customFormat="1" x14ac:dyDescent="0.2">
      <c r="C9" s="14" t="s">
        <v>85</v>
      </c>
      <c r="D9" s="14" t="s">
        <v>88</v>
      </c>
      <c r="E9" s="14"/>
      <c r="F9" s="14"/>
    </row>
    <row r="10" spans="1:10" customFormat="1" x14ac:dyDescent="0.2">
      <c r="C10" s="14"/>
      <c r="D10" s="14"/>
      <c r="E10" s="14"/>
      <c r="F10" s="14"/>
    </row>
    <row r="11" spans="1:10" customFormat="1" x14ac:dyDescent="0.2">
      <c r="C11" s="14"/>
      <c r="D11" s="14"/>
      <c r="E11" s="14"/>
      <c r="F11" s="14"/>
    </row>
    <row r="12" spans="1:10" customFormat="1" x14ac:dyDescent="0.2">
      <c r="B12" s="28" t="s">
        <v>89</v>
      </c>
      <c r="C12" s="14"/>
      <c r="D12" s="14"/>
      <c r="E12" s="14"/>
      <c r="F12" s="14"/>
    </row>
    <row r="13" spans="1:10" customFormat="1" x14ac:dyDescent="0.2">
      <c r="C13" s="127" t="s">
        <v>85</v>
      </c>
      <c r="D13" s="14"/>
      <c r="E13" s="14"/>
      <c r="F13" s="14"/>
    </row>
    <row r="14" spans="1:10" customFormat="1" x14ac:dyDescent="0.2"/>
    <row r="15" spans="1:10" customFormat="1" x14ac:dyDescent="0.2"/>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sheetData>
  <pageMargins left="0.75" right="0.75" top="1" bottom="1" header="0.5" footer="0.5"/>
  <pageSetup orientation="portrait" r:id="rId1"/>
  <headerFooter alignWithMargins="0">
    <oddFooter>&amp;L&amp;8© AMT Training 2008 - 2016</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208"/>
  <sheetViews>
    <sheetView showGridLines="0" zoomScaleNormal="100" workbookViewId="0">
      <pane ySplit="2" topLeftCell="A3" activePane="bottomLeft" state="frozen"/>
      <selection pane="bottomLeft" activeCell="D37" sqref="D37"/>
    </sheetView>
  </sheetViews>
  <sheetFormatPr defaultColWidth="9.140625" defaultRowHeight="12.75" x14ac:dyDescent="0.2"/>
  <cols>
    <col min="1" max="1" width="1.7109375" style="36" customWidth="1"/>
    <col min="2" max="2" width="33.5703125" style="36" bestFit="1" customWidth="1"/>
    <col min="3" max="3" width="10.7109375" style="36" bestFit="1" customWidth="1"/>
    <col min="4" max="4" width="10.140625" style="36" bestFit="1" customWidth="1"/>
    <col min="5" max="5" width="9.140625" style="36"/>
    <col min="6" max="6" width="17.28515625" style="36" bestFit="1" customWidth="1"/>
    <col min="7" max="7" width="10.140625" style="36" bestFit="1" customWidth="1"/>
    <col min="8" max="9" width="9.5703125" style="36" bestFit="1"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6" s="3" customFormat="1" ht="30" x14ac:dyDescent="0.45">
      <c r="A1" s="9" t="str">
        <f>CoName2</f>
        <v>Current assets &amp; liabilities</v>
      </c>
      <c r="B1" s="74"/>
      <c r="C1" s="74"/>
      <c r="D1" s="75"/>
      <c r="E1" s="75"/>
      <c r="F1" s="75"/>
      <c r="G1" s="75"/>
      <c r="H1" s="75"/>
      <c r="I1" s="75"/>
      <c r="J1" s="75"/>
      <c r="K1" s="75"/>
      <c r="L1" s="75"/>
      <c r="M1" s="75"/>
      <c r="N1" s="75"/>
      <c r="O1" s="75"/>
      <c r="P1" s="75"/>
    </row>
    <row r="2" spans="1:16" s="3" customFormat="1" ht="19.5" thickBot="1" x14ac:dyDescent="0.35">
      <c r="A2" s="76" t="str">
        <f ca="1">"Question CAL #"&amp;RIGHT(CELL("filename",$A$1),LEN(CELL("filename",$A$1))-FIND("]",CELL("filename",$A$1))-5)</f>
        <v>Question CAL #4</v>
      </c>
      <c r="B2" s="77"/>
      <c r="C2" s="77"/>
      <c r="D2" s="78"/>
      <c r="E2" s="78"/>
      <c r="F2" s="78"/>
      <c r="G2" s="78"/>
      <c r="H2" s="78"/>
      <c r="I2" s="78"/>
      <c r="J2" s="78"/>
      <c r="K2" s="78"/>
      <c r="L2" s="78"/>
      <c r="M2" s="78"/>
      <c r="N2" s="78"/>
      <c r="O2" s="78"/>
      <c r="P2" s="78"/>
    </row>
    <row r="3" spans="1:16" ht="13.5" thickTop="1" x14ac:dyDescent="0.2"/>
    <row r="4" spans="1:16" x14ac:dyDescent="0.2">
      <c r="B4" s="82" t="s">
        <v>325</v>
      </c>
    </row>
    <row r="5" spans="1:16" x14ac:dyDescent="0.2">
      <c r="B5" s="28" t="s">
        <v>326</v>
      </c>
    </row>
    <row r="6" spans="1:16" x14ac:dyDescent="0.2">
      <c r="B6" s="28" t="s">
        <v>327</v>
      </c>
    </row>
    <row r="7" spans="1:16" x14ac:dyDescent="0.2">
      <c r="B7"/>
    </row>
    <row r="8" spans="1:16" ht="15" x14ac:dyDescent="0.25">
      <c r="B8"/>
      <c r="C8" s="79" t="s">
        <v>219</v>
      </c>
      <c r="D8" s="79" t="s">
        <v>218</v>
      </c>
    </row>
    <row r="9" spans="1:16" x14ac:dyDescent="0.2">
      <c r="B9" t="s">
        <v>328</v>
      </c>
      <c r="C9" s="39">
        <v>15856</v>
      </c>
      <c r="D9" s="39">
        <v>16299</v>
      </c>
    </row>
    <row r="10" spans="1:16" x14ac:dyDescent="0.2">
      <c r="B10" t="s">
        <v>303</v>
      </c>
      <c r="C10" s="39">
        <v>9989</v>
      </c>
      <c r="D10" s="39">
        <v>10594</v>
      </c>
    </row>
    <row r="11" spans="1:16" x14ac:dyDescent="0.2">
      <c r="B11"/>
      <c r="C11" s="39"/>
      <c r="D11" s="39"/>
    </row>
    <row r="12" spans="1:16" x14ac:dyDescent="0.2">
      <c r="B12" t="s">
        <v>8</v>
      </c>
      <c r="C12" s="39">
        <v>85</v>
      </c>
      <c r="D12" s="39">
        <v>47</v>
      </c>
    </row>
    <row r="13" spans="1:16" x14ac:dyDescent="0.2">
      <c r="B13" t="s">
        <v>304</v>
      </c>
      <c r="C13" s="39">
        <v>2282</v>
      </c>
      <c r="D13" s="39">
        <v>1762</v>
      </c>
    </row>
    <row r="14" spans="1:16" x14ac:dyDescent="0.2">
      <c r="B14" t="s">
        <v>286</v>
      </c>
      <c r="C14" s="39">
        <v>1152</v>
      </c>
      <c r="D14" s="39">
        <v>1057</v>
      </c>
    </row>
    <row r="15" spans="1:16" x14ac:dyDescent="0.2">
      <c r="B15" t="s">
        <v>108</v>
      </c>
      <c r="C15" s="39">
        <v>520</v>
      </c>
      <c r="D15" s="39">
        <v>555</v>
      </c>
    </row>
    <row r="16" spans="1:16" x14ac:dyDescent="0.2">
      <c r="B16" t="s">
        <v>329</v>
      </c>
      <c r="C16" s="39">
        <v>426</v>
      </c>
      <c r="D16" s="39">
        <v>360</v>
      </c>
    </row>
    <row r="17" spans="1:4" x14ac:dyDescent="0.2">
      <c r="B17" t="s">
        <v>59</v>
      </c>
      <c r="C17" s="39">
        <v>167</v>
      </c>
      <c r="D17" s="39">
        <v>201</v>
      </c>
    </row>
    <row r="18" spans="1:4" s="38" customFormat="1" x14ac:dyDescent="0.2">
      <c r="B18" t="s">
        <v>69</v>
      </c>
      <c r="C18" s="38">
        <f>SUM(C12:C17)</f>
        <v>4632</v>
      </c>
      <c r="D18" s="38">
        <f t="shared" ref="D18" si="0">SUM(D12:D17)</f>
        <v>3982</v>
      </c>
    </row>
    <row r="19" spans="1:4" s="38" customFormat="1" x14ac:dyDescent="0.2">
      <c r="B19"/>
    </row>
    <row r="20" spans="1:4" x14ac:dyDescent="0.2">
      <c r="B20" t="s">
        <v>58</v>
      </c>
      <c r="C20" s="39">
        <v>940</v>
      </c>
      <c r="D20" s="39">
        <v>855</v>
      </c>
    </row>
    <row r="21" spans="1:4" x14ac:dyDescent="0.2">
      <c r="B21" t="s">
        <v>330</v>
      </c>
      <c r="C21" s="39">
        <v>0</v>
      </c>
      <c r="D21" s="39">
        <v>595</v>
      </c>
    </row>
    <row r="22" spans="1:4" x14ac:dyDescent="0.2">
      <c r="B22" t="s">
        <v>331</v>
      </c>
      <c r="C22" s="39">
        <v>892</v>
      </c>
      <c r="D22" s="39">
        <v>805</v>
      </c>
    </row>
    <row r="23" spans="1:4" x14ac:dyDescent="0.2">
      <c r="B23" t="s">
        <v>332</v>
      </c>
      <c r="C23" s="39">
        <v>1178</v>
      </c>
      <c r="D23" s="39">
        <v>915</v>
      </c>
    </row>
    <row r="24" spans="1:4" x14ac:dyDescent="0.2">
      <c r="B24" t="s">
        <v>333</v>
      </c>
      <c r="C24" s="39">
        <v>2163</v>
      </c>
      <c r="D24" s="39">
        <v>2044</v>
      </c>
    </row>
    <row r="25" spans="1:4" x14ac:dyDescent="0.2">
      <c r="B25" t="s">
        <v>334</v>
      </c>
      <c r="C25" s="39">
        <v>23</v>
      </c>
      <c r="D25" s="39">
        <v>21</v>
      </c>
    </row>
    <row r="26" spans="1:4" x14ac:dyDescent="0.2">
      <c r="B26" t="s">
        <v>335</v>
      </c>
      <c r="C26" s="39">
        <v>129</v>
      </c>
      <c r="D26" s="39">
        <v>112</v>
      </c>
    </row>
    <row r="27" spans="1:4" s="38" customFormat="1" x14ac:dyDescent="0.2">
      <c r="B27" t="s">
        <v>71</v>
      </c>
      <c r="C27" s="38">
        <f>SUM(C20:C26)</f>
        <v>5325</v>
      </c>
      <c r="D27" s="38">
        <f t="shared" ref="D27" si="1">SUM(D20:D26)</f>
        <v>5347</v>
      </c>
    </row>
    <row r="28" spans="1:4" x14ac:dyDescent="0.2">
      <c r="B28"/>
    </row>
    <row r="29" spans="1:4" ht="15" x14ac:dyDescent="0.25">
      <c r="A29" s="81" t="s">
        <v>311</v>
      </c>
    </row>
    <row r="30" spans="1:4" x14ac:dyDescent="0.2">
      <c r="B30"/>
    </row>
    <row r="31" spans="1:4" ht="15" x14ac:dyDescent="0.25">
      <c r="B31"/>
      <c r="C31" s="79" t="s">
        <v>219</v>
      </c>
      <c r="D31" s="79" t="s">
        <v>218</v>
      </c>
    </row>
    <row r="32" spans="1:4" x14ac:dyDescent="0.2">
      <c r="B32" t="s">
        <v>312</v>
      </c>
      <c r="C32" s="83">
        <f>C18-C27</f>
        <v>-693</v>
      </c>
      <c r="D32" s="83">
        <f>D18-D27</f>
        <v>-1365</v>
      </c>
    </row>
    <row r="33" spans="2:4" x14ac:dyDescent="0.2">
      <c r="B33" t="s">
        <v>313</v>
      </c>
      <c r="C33" s="83">
        <f>(C18-C13-C12)-(C27-C21-C25-C26)</f>
        <v>-2908</v>
      </c>
      <c r="D33" s="83">
        <f>(D18-D13-D12)-(D27-D21-D25-D26)</f>
        <v>-2446</v>
      </c>
    </row>
    <row r="34" spans="2:4" x14ac:dyDescent="0.2">
      <c r="B34" t="s">
        <v>314</v>
      </c>
      <c r="C34" s="84">
        <f>C33/C9</f>
        <v>-0.18340060544904138</v>
      </c>
      <c r="D34" s="84">
        <f>D33/D9</f>
        <v>-0.1500705564758574</v>
      </c>
    </row>
    <row r="35" spans="2:4" x14ac:dyDescent="0.2">
      <c r="B35" t="s">
        <v>315</v>
      </c>
      <c r="C35" s="83">
        <f>C14/C9*365</f>
        <v>26.518668012108982</v>
      </c>
      <c r="D35" s="83">
        <f>D14/D9*365</f>
        <v>23.670470581017241</v>
      </c>
    </row>
    <row r="36" spans="2:4" x14ac:dyDescent="0.2">
      <c r="B36" t="s">
        <v>316</v>
      </c>
      <c r="C36" s="83">
        <f>C15/C10*365</f>
        <v>19.000900991090198</v>
      </c>
      <c r="D36" s="83">
        <f>D15/D10*365</f>
        <v>19.121672644893337</v>
      </c>
    </row>
    <row r="37" spans="2:4" x14ac:dyDescent="0.2">
      <c r="B37" t="s">
        <v>317</v>
      </c>
      <c r="C37" s="83">
        <f>C20/C10*365</f>
        <v>34.347782560816896</v>
      </c>
      <c r="D37" s="83">
        <f>D20/D10*365</f>
        <v>29.457711912403244</v>
      </c>
    </row>
    <row r="38" spans="2:4" x14ac:dyDescent="0.2">
      <c r="B38"/>
    </row>
    <row r="39" spans="2:4" customFormat="1" x14ac:dyDescent="0.2"/>
    <row r="40" spans="2:4" customFormat="1" x14ac:dyDescent="0.2"/>
    <row r="41" spans="2:4" customFormat="1" x14ac:dyDescent="0.2"/>
    <row r="42" spans="2:4" customFormat="1" x14ac:dyDescent="0.2"/>
    <row r="43" spans="2:4" customFormat="1" x14ac:dyDescent="0.2"/>
    <row r="44" spans="2:4" customFormat="1" x14ac:dyDescent="0.2"/>
    <row r="45" spans="2:4" customFormat="1" x14ac:dyDescent="0.2"/>
    <row r="46" spans="2:4" customFormat="1" x14ac:dyDescent="0.2"/>
    <row r="47" spans="2:4" customFormat="1" x14ac:dyDescent="0.2"/>
    <row r="48" spans="2: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sheetData>
  <pageMargins left="0.75" right="0.75" top="1" bottom="1" header="0.5" footer="0.5"/>
  <pageSetup orientation="portrait" r:id="rId1"/>
  <headerFooter alignWithMargins="0">
    <oddFooter>&amp;L&amp;8© AMT Training 2008 - 2016</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24"/>
  <sheetViews>
    <sheetView showGridLines="0" zoomScaleNormal="100" workbookViewId="0">
      <pane ySplit="2" topLeftCell="A3" activePane="bottomLeft" state="frozen"/>
      <selection pane="bottomLeft" activeCell="D8" sqref="D8"/>
    </sheetView>
  </sheetViews>
  <sheetFormatPr defaultColWidth="9.140625" defaultRowHeight="12.75" x14ac:dyDescent="0.2"/>
  <cols>
    <col min="1" max="1" width="1.7109375" style="36" customWidth="1"/>
    <col min="2" max="2" width="33.5703125" style="36" bestFit="1" customWidth="1"/>
    <col min="3" max="3" width="10.7109375" style="36" bestFit="1" customWidth="1"/>
    <col min="4" max="4" width="10.140625" style="36" bestFit="1" customWidth="1"/>
    <col min="5" max="5" width="9.140625" style="36"/>
    <col min="6" max="6" width="17.28515625" style="36" bestFit="1" customWidth="1"/>
    <col min="7" max="7" width="10.140625" style="36" bestFit="1" customWidth="1"/>
    <col min="8" max="9" width="9.5703125" style="36" bestFit="1"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6" s="3" customFormat="1" ht="30" x14ac:dyDescent="0.45">
      <c r="A1" s="9" t="str">
        <f>CoName2</f>
        <v>Current assets &amp; liabilities</v>
      </c>
      <c r="B1" s="74"/>
      <c r="C1" s="74"/>
      <c r="D1" s="75"/>
      <c r="E1" s="75"/>
      <c r="F1" s="75"/>
      <c r="G1" s="75"/>
      <c r="H1" s="75"/>
      <c r="I1" s="75"/>
      <c r="J1" s="75"/>
      <c r="K1" s="75"/>
      <c r="L1" s="75"/>
      <c r="M1" s="75"/>
      <c r="N1" s="75"/>
      <c r="O1" s="75"/>
      <c r="P1" s="75"/>
    </row>
    <row r="2" spans="1:16" s="3" customFormat="1" ht="19.5" thickBot="1" x14ac:dyDescent="0.35">
      <c r="A2" s="76" t="str">
        <f ca="1">"Question CAL #"&amp;RIGHT(CELL("filename",$A$1),LEN(CELL("filename",$A$1))-FIND("]",CELL("filename",$A$1))-5)</f>
        <v>Question CAL #5</v>
      </c>
      <c r="B2" s="77"/>
      <c r="C2" s="77"/>
      <c r="D2" s="78"/>
      <c r="E2" s="78"/>
      <c r="F2" s="78"/>
      <c r="G2" s="78"/>
      <c r="H2" s="78"/>
      <c r="I2" s="78"/>
      <c r="J2" s="78"/>
      <c r="K2" s="78"/>
      <c r="L2" s="78"/>
      <c r="M2" s="78"/>
      <c r="N2" s="78"/>
      <c r="O2" s="78"/>
      <c r="P2" s="78"/>
    </row>
    <row r="3" spans="1:16" ht="13.5" thickTop="1" x14ac:dyDescent="0.2"/>
    <row r="4" spans="1:16" s="38" customFormat="1" ht="15" x14ac:dyDescent="0.25">
      <c r="C4" s="79" t="s">
        <v>336</v>
      </c>
      <c r="D4" s="79" t="s">
        <v>337</v>
      </c>
    </row>
    <row r="5" spans="1:16" x14ac:dyDescent="0.2">
      <c r="B5" t="s">
        <v>338</v>
      </c>
      <c r="C5" s="39">
        <v>42</v>
      </c>
      <c r="D5" s="39">
        <v>15</v>
      </c>
    </row>
    <row r="6" spans="1:16" x14ac:dyDescent="0.2">
      <c r="B6" t="s">
        <v>339</v>
      </c>
      <c r="C6" s="39">
        <v>27</v>
      </c>
      <c r="D6" s="39">
        <v>12</v>
      </c>
    </row>
    <row r="7" spans="1:16" x14ac:dyDescent="0.2">
      <c r="B7" t="s">
        <v>340</v>
      </c>
      <c r="C7" s="39">
        <v>35</v>
      </c>
      <c r="D7" s="39">
        <v>46</v>
      </c>
    </row>
    <row r="8" spans="1:16" s="38" customFormat="1" x14ac:dyDescent="0.2">
      <c r="B8" t="s">
        <v>341</v>
      </c>
      <c r="C8" s="86">
        <f>C5+C6-C7</f>
        <v>34</v>
      </c>
      <c r="D8" s="86">
        <f>D5+D6-D7</f>
        <v>-19</v>
      </c>
    </row>
    <row r="9" spans="1:16" customFormat="1" x14ac:dyDescent="0.2"/>
    <row r="10" spans="1:16" customFormat="1" x14ac:dyDescent="0.2"/>
    <row r="11" spans="1:16" customFormat="1" x14ac:dyDescent="0.2"/>
    <row r="12" spans="1:16" customFormat="1" x14ac:dyDescent="0.2"/>
    <row r="13" spans="1:16" customFormat="1" x14ac:dyDescent="0.2"/>
    <row r="14" spans="1:16" customFormat="1" x14ac:dyDescent="0.2"/>
    <row r="15" spans="1:16" customFormat="1" x14ac:dyDescent="0.2"/>
    <row r="16" spans="1:16"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sheetData>
  <pageMargins left="0.75" right="0.75" top="1" bottom="1" header="0.5" footer="0.5"/>
  <pageSetup orientation="portrait" r:id="rId1"/>
  <headerFooter alignWithMargins="0">
    <oddFooter>&amp;L&amp;8© AMT Training 2008 - 2016</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157"/>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23.42578125"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#1</v>
      </c>
      <c r="B2" s="77"/>
      <c r="C2" s="77"/>
      <c r="D2" s="78"/>
      <c r="E2" s="78"/>
      <c r="F2" s="78"/>
      <c r="G2" s="78"/>
      <c r="H2" s="78"/>
      <c r="I2" s="78"/>
      <c r="J2" s="78"/>
      <c r="K2" s="78"/>
      <c r="L2" s="78"/>
      <c r="M2" s="78"/>
      <c r="N2" s="78"/>
      <c r="O2" s="78"/>
      <c r="P2" s="78"/>
    </row>
    <row r="3" spans="1:16" ht="13.5" thickTop="1" x14ac:dyDescent="0.2"/>
    <row r="4" spans="1:16" x14ac:dyDescent="0.2">
      <c r="B4" s="82" t="s">
        <v>344</v>
      </c>
    </row>
    <row r="5" spans="1:16" x14ac:dyDescent="0.2">
      <c r="B5" s="57" t="s">
        <v>345</v>
      </c>
    </row>
    <row r="7" spans="1:16" s="87" customFormat="1" x14ac:dyDescent="0.2">
      <c r="B7" t="s">
        <v>346</v>
      </c>
    </row>
    <row r="8" spans="1:16" x14ac:dyDescent="0.2">
      <c r="A8" s="67"/>
      <c r="B8" t="s">
        <v>347</v>
      </c>
      <c r="E8" s="39">
        <v>5005</v>
      </c>
    </row>
    <row r="9" spans="1:16" x14ac:dyDescent="0.2">
      <c r="A9" s="67"/>
      <c r="B9" t="s">
        <v>348</v>
      </c>
      <c r="E9" s="39">
        <v>4123</v>
      </c>
    </row>
    <row r="10" spans="1:16" x14ac:dyDescent="0.2">
      <c r="A10" s="67"/>
      <c r="B10" t="s">
        <v>57</v>
      </c>
      <c r="D10" s="88"/>
      <c r="E10" s="39">
        <v>882</v>
      </c>
    </row>
    <row r="11" spans="1:16" x14ac:dyDescent="0.2">
      <c r="B11" t="s">
        <v>26</v>
      </c>
      <c r="E11" s="39">
        <v>800</v>
      </c>
    </row>
    <row r="12" spans="1:16" x14ac:dyDescent="0.2">
      <c r="B12" t="s">
        <v>37</v>
      </c>
      <c r="E12" s="39">
        <v>3258</v>
      </c>
    </row>
    <row r="13" spans="1:16" x14ac:dyDescent="0.2">
      <c r="B13" t="s">
        <v>74</v>
      </c>
      <c r="E13" s="39">
        <v>1147</v>
      </c>
    </row>
    <row r="14" spans="1:16" x14ac:dyDescent="0.2">
      <c r="B14" t="s">
        <v>75</v>
      </c>
      <c r="E14" s="39">
        <v>2111</v>
      </c>
    </row>
    <row r="15" spans="1:16" x14ac:dyDescent="0.2">
      <c r="B15"/>
    </row>
    <row r="16" spans="1:16" ht="15" x14ac:dyDescent="0.25">
      <c r="A16" s="81" t="s">
        <v>349</v>
      </c>
    </row>
    <row r="17" spans="1:5" x14ac:dyDescent="0.2">
      <c r="B17"/>
    </row>
    <row r="18" spans="1:5" x14ac:dyDescent="0.2">
      <c r="B18" t="s">
        <v>350</v>
      </c>
      <c r="E18" s="24">
        <v>156</v>
      </c>
    </row>
    <row r="19" spans="1:5" x14ac:dyDescent="0.2">
      <c r="B19"/>
    </row>
    <row r="20" spans="1:5" x14ac:dyDescent="0.2">
      <c r="B20" t="s">
        <v>351</v>
      </c>
    </row>
    <row r="21" spans="1:5" x14ac:dyDescent="0.2">
      <c r="B21" t="s">
        <v>347</v>
      </c>
      <c r="E21" s="50"/>
    </row>
    <row r="22" spans="1:5" x14ac:dyDescent="0.2">
      <c r="B22" t="s">
        <v>348</v>
      </c>
      <c r="E22" s="50"/>
    </row>
    <row r="23" spans="1:5" x14ac:dyDescent="0.2">
      <c r="B23" t="s">
        <v>57</v>
      </c>
      <c r="E23" s="50"/>
    </row>
    <row r="24" spans="1:5" x14ac:dyDescent="0.2">
      <c r="B24" t="s">
        <v>26</v>
      </c>
      <c r="E24" s="50"/>
    </row>
    <row r="25" spans="1:5" x14ac:dyDescent="0.2">
      <c r="B25" t="s">
        <v>37</v>
      </c>
      <c r="E25" s="50"/>
    </row>
    <row r="26" spans="1:5" x14ac:dyDescent="0.2">
      <c r="B26" t="s">
        <v>74</v>
      </c>
      <c r="E26" s="50"/>
    </row>
    <row r="27" spans="1:5" x14ac:dyDescent="0.2">
      <c r="B27" t="s">
        <v>75</v>
      </c>
      <c r="E27" s="50"/>
    </row>
    <row r="28" spans="1:5" x14ac:dyDescent="0.2">
      <c r="B28"/>
    </row>
    <row r="29" spans="1:5" ht="15" x14ac:dyDescent="0.25">
      <c r="A29" s="81" t="s">
        <v>352</v>
      </c>
    </row>
    <row r="30" spans="1:5" x14ac:dyDescent="0.2">
      <c r="B30"/>
    </row>
    <row r="31" spans="1:5" x14ac:dyDescent="0.2">
      <c r="B31" t="s">
        <v>353</v>
      </c>
      <c r="E31" s="24">
        <v>320</v>
      </c>
    </row>
    <row r="32" spans="1:5" x14ac:dyDescent="0.2">
      <c r="B32"/>
    </row>
    <row r="33" spans="2:5" x14ac:dyDescent="0.2">
      <c r="B33" t="s">
        <v>354</v>
      </c>
    </row>
    <row r="34" spans="2:5" x14ac:dyDescent="0.2">
      <c r="B34" t="s">
        <v>347</v>
      </c>
      <c r="E34" s="50"/>
    </row>
    <row r="35" spans="2:5" x14ac:dyDescent="0.2">
      <c r="B35" t="s">
        <v>348</v>
      </c>
      <c r="E35" s="50"/>
    </row>
    <row r="36" spans="2:5" x14ac:dyDescent="0.2">
      <c r="B36" t="s">
        <v>57</v>
      </c>
      <c r="E36" s="50"/>
    </row>
    <row r="37" spans="2:5" x14ac:dyDescent="0.2">
      <c r="B37" t="s">
        <v>26</v>
      </c>
      <c r="E37" s="50"/>
    </row>
    <row r="38" spans="2:5" x14ac:dyDescent="0.2">
      <c r="B38" t="s">
        <v>37</v>
      </c>
      <c r="E38" s="50"/>
    </row>
    <row r="39" spans="2:5" x14ac:dyDescent="0.2">
      <c r="B39" t="s">
        <v>74</v>
      </c>
      <c r="E39" s="50"/>
    </row>
    <row r="40" spans="2:5" x14ac:dyDescent="0.2">
      <c r="B40" t="s">
        <v>75</v>
      </c>
      <c r="E40" s="50"/>
    </row>
    <row r="41" spans="2:5" customFormat="1" x14ac:dyDescent="0.2"/>
    <row r="42" spans="2:5" customFormat="1" x14ac:dyDescent="0.2"/>
    <row r="43" spans="2:5" customFormat="1" x14ac:dyDescent="0.2"/>
    <row r="44" spans="2:5" customFormat="1" x14ac:dyDescent="0.2"/>
    <row r="45" spans="2:5" customFormat="1" x14ac:dyDescent="0.2"/>
    <row r="46" spans="2:5" customFormat="1" x14ac:dyDescent="0.2"/>
    <row r="47" spans="2:5" customFormat="1" x14ac:dyDescent="0.2"/>
    <row r="48" spans="2:5"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sheetData>
  <pageMargins left="0.75" right="0.75" top="1" bottom="1" header="0.5" footer="0.5"/>
  <pageSetup orientation="portrait" r:id="rId1"/>
  <headerFooter alignWithMargins="0">
    <oddFooter>&amp;L&amp;8© AMT Training 2008 - 2016</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55"/>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3.5703125" style="47" bestFit="1" customWidth="1"/>
    <col min="3" max="3" width="10.7109375" style="47" bestFit="1" customWidth="1"/>
    <col min="4" max="4" width="10.140625" style="47" bestFit="1" customWidth="1"/>
    <col min="5" max="5" width="9.7109375" style="47" bestFit="1" customWidth="1"/>
    <col min="6" max="6" width="17.28515625" style="47" bestFit="1" customWidth="1"/>
    <col min="7" max="7" width="12.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#2</v>
      </c>
      <c r="B2" s="77"/>
      <c r="C2" s="77"/>
      <c r="D2" s="78"/>
      <c r="E2" s="78"/>
      <c r="F2" s="78"/>
      <c r="G2" s="78"/>
      <c r="H2" s="78"/>
      <c r="I2" s="78"/>
      <c r="J2" s="78"/>
      <c r="K2" s="78"/>
      <c r="L2" s="78"/>
      <c r="M2" s="78"/>
      <c r="N2" s="78"/>
      <c r="O2" s="78"/>
      <c r="P2" s="78"/>
    </row>
    <row r="3" spans="1:16" ht="13.5" thickTop="1" x14ac:dyDescent="0.2"/>
    <row r="4" spans="1:16" x14ac:dyDescent="0.2">
      <c r="B4" s="28" t="s">
        <v>605</v>
      </c>
    </row>
    <row r="5" spans="1:16" x14ac:dyDescent="0.2">
      <c r="B5"/>
    </row>
    <row r="6" spans="1:16" x14ac:dyDescent="0.2">
      <c r="B6" t="s">
        <v>355</v>
      </c>
      <c r="C6" s="88"/>
      <c r="D6" s="88"/>
    </row>
    <row r="7" spans="1:16" x14ac:dyDescent="0.2">
      <c r="B7" t="s">
        <v>356</v>
      </c>
      <c r="D7" s="39"/>
      <c r="E7" s="39">
        <v>2139</v>
      </c>
    </row>
    <row r="8" spans="1:16" x14ac:dyDescent="0.2">
      <c r="B8" t="s">
        <v>357</v>
      </c>
      <c r="D8" s="39"/>
      <c r="E8" s="39">
        <v>84150</v>
      </c>
    </row>
    <row r="9" spans="1:16" x14ac:dyDescent="0.2">
      <c r="B9" t="s">
        <v>358</v>
      </c>
      <c r="D9" s="39"/>
      <c r="E9" s="39">
        <v>381722</v>
      </c>
    </row>
    <row r="10" spans="1:16" x14ac:dyDescent="0.2">
      <c r="B10" t="s">
        <v>359</v>
      </c>
      <c r="D10" s="39"/>
      <c r="E10" s="39">
        <v>468011</v>
      </c>
    </row>
    <row r="11" spans="1:16" x14ac:dyDescent="0.2">
      <c r="B11" t="s">
        <v>360</v>
      </c>
      <c r="D11" s="39"/>
      <c r="E11" s="39">
        <v>183236</v>
      </c>
    </row>
    <row r="12" spans="1:16" x14ac:dyDescent="0.2">
      <c r="B12" t="s">
        <v>361</v>
      </c>
      <c r="D12" s="39"/>
      <c r="E12" s="39">
        <v>284775</v>
      </c>
    </row>
    <row r="13" spans="1:16" s="57" customFormat="1" x14ac:dyDescent="0.2">
      <c r="B13"/>
    </row>
    <row r="14" spans="1:16" ht="15" x14ac:dyDescent="0.25">
      <c r="A14" s="81" t="s">
        <v>606</v>
      </c>
      <c r="C14" s="39"/>
      <c r="D14" s="39"/>
    </row>
    <row r="15" spans="1:16" x14ac:dyDescent="0.2">
      <c r="B15"/>
      <c r="C15" s="39"/>
      <c r="D15" s="39"/>
    </row>
    <row r="16" spans="1:16" x14ac:dyDescent="0.2">
      <c r="B16" t="s">
        <v>362</v>
      </c>
      <c r="C16" s="39"/>
      <c r="D16" s="39"/>
      <c r="F16" s="25">
        <v>0.15</v>
      </c>
      <c r="G16" s="25">
        <v>0.15</v>
      </c>
    </row>
    <row r="17" spans="2:7" x14ac:dyDescent="0.2">
      <c r="B17" t="s">
        <v>363</v>
      </c>
      <c r="C17" s="39"/>
      <c r="D17" s="39"/>
      <c r="F17" s="25">
        <v>0.08</v>
      </c>
      <c r="G17" s="25">
        <v>0.08</v>
      </c>
    </row>
    <row r="18" spans="2:7" s="57" customFormat="1" x14ac:dyDescent="0.2">
      <c r="B18"/>
    </row>
    <row r="19" spans="2:7" s="87" customFormat="1" ht="15" x14ac:dyDescent="0.25">
      <c r="B19"/>
      <c r="F19" s="89" t="s">
        <v>364</v>
      </c>
      <c r="G19" s="89" t="s">
        <v>365</v>
      </c>
    </row>
    <row r="20" spans="2:7" x14ac:dyDescent="0.2">
      <c r="B20" t="s">
        <v>25</v>
      </c>
      <c r="F20" s="39">
        <f>1485000</f>
        <v>1485000</v>
      </c>
      <c r="G20" s="39">
        <f>1634000</f>
        <v>1634000</v>
      </c>
    </row>
    <row r="21" spans="2:7" x14ac:dyDescent="0.2">
      <c r="B21"/>
      <c r="F21" s="39"/>
      <c r="G21" s="39"/>
    </row>
    <row r="22" spans="2:7" s="57" customFormat="1" x14ac:dyDescent="0.2">
      <c r="B22" s="28" t="s">
        <v>57</v>
      </c>
      <c r="C22" s="90"/>
      <c r="D22" s="90"/>
    </row>
    <row r="23" spans="2:7" x14ac:dyDescent="0.2">
      <c r="B23" s="28" t="s">
        <v>83</v>
      </c>
      <c r="C23" s="39"/>
      <c r="D23" s="39"/>
      <c r="F23" s="50"/>
      <c r="G23" s="50"/>
    </row>
    <row r="24" spans="2:7" x14ac:dyDescent="0.2">
      <c r="B24" s="28" t="s">
        <v>82</v>
      </c>
      <c r="C24" s="39"/>
      <c r="D24" s="39"/>
      <c r="F24" s="50"/>
      <c r="G24" s="50"/>
    </row>
    <row r="25" spans="2:7" x14ac:dyDescent="0.2">
      <c r="B25" s="28" t="s">
        <v>366</v>
      </c>
      <c r="F25" s="50"/>
      <c r="G25" s="50"/>
    </row>
    <row r="26" spans="2:7" x14ac:dyDescent="0.2">
      <c r="B26" s="28" t="s">
        <v>367</v>
      </c>
      <c r="C26" s="39"/>
      <c r="D26" s="39"/>
      <c r="F26" s="50"/>
      <c r="G26" s="50"/>
    </row>
    <row r="27" spans="2:7" x14ac:dyDescent="0.2">
      <c r="B27"/>
      <c r="C27" s="39"/>
      <c r="D27" s="39"/>
    </row>
    <row r="28" spans="2:7" s="57" customFormat="1" x14ac:dyDescent="0.2">
      <c r="B28" s="28" t="s">
        <v>347</v>
      </c>
      <c r="C28" s="90"/>
      <c r="D28" s="90"/>
    </row>
    <row r="29" spans="2:7" x14ac:dyDescent="0.2">
      <c r="B29" s="28" t="s">
        <v>83</v>
      </c>
      <c r="C29" s="39"/>
      <c r="D29" s="39"/>
      <c r="F29" s="50"/>
      <c r="G29" s="50"/>
    </row>
    <row r="30" spans="2:7" x14ac:dyDescent="0.2">
      <c r="B30" s="28" t="s">
        <v>82</v>
      </c>
      <c r="C30" s="39"/>
      <c r="D30" s="39"/>
      <c r="F30" s="50"/>
      <c r="G30" s="50"/>
    </row>
    <row r="31" spans="2:7" x14ac:dyDescent="0.2">
      <c r="B31" s="28" t="s">
        <v>367</v>
      </c>
      <c r="C31" s="39"/>
      <c r="D31" s="39"/>
      <c r="F31" s="50"/>
      <c r="G31" s="50"/>
    </row>
    <row r="32" spans="2:7" x14ac:dyDescent="0.2">
      <c r="B32"/>
      <c r="C32" s="39"/>
      <c r="D32" s="39"/>
    </row>
    <row r="33" spans="2:7" s="57" customFormat="1" x14ac:dyDescent="0.2">
      <c r="B33" s="28" t="s">
        <v>348</v>
      </c>
    </row>
    <row r="34" spans="2:7" x14ac:dyDescent="0.2">
      <c r="B34" s="28" t="s">
        <v>83</v>
      </c>
      <c r="C34" s="39"/>
      <c r="D34" s="39"/>
      <c r="F34" s="50"/>
      <c r="G34" s="50"/>
    </row>
    <row r="35" spans="2:7" x14ac:dyDescent="0.2">
      <c r="B35" s="28" t="s">
        <v>82</v>
      </c>
      <c r="C35" s="39"/>
      <c r="D35" s="39"/>
      <c r="F35" s="50"/>
      <c r="G35" s="50"/>
    </row>
    <row r="36" spans="2:7" x14ac:dyDescent="0.2">
      <c r="B36" s="28" t="s">
        <v>367</v>
      </c>
      <c r="C36" s="39"/>
      <c r="D36" s="39"/>
      <c r="F36" s="50"/>
      <c r="G36" s="50"/>
    </row>
    <row r="37" spans="2:7" x14ac:dyDescent="0.2">
      <c r="B37"/>
      <c r="C37" s="39"/>
      <c r="D37" s="39"/>
    </row>
    <row r="38" spans="2:7" x14ac:dyDescent="0.2">
      <c r="B38" t="s">
        <v>368</v>
      </c>
      <c r="C38" s="39"/>
      <c r="D38" s="39"/>
      <c r="F38" s="50"/>
      <c r="G38" s="50"/>
    </row>
    <row r="39" spans="2:7" customFormat="1" x14ac:dyDescent="0.2"/>
    <row r="40" spans="2:7" customFormat="1" x14ac:dyDescent="0.2"/>
    <row r="41" spans="2:7" customFormat="1" x14ac:dyDescent="0.2"/>
    <row r="42" spans="2:7" customFormat="1" x14ac:dyDescent="0.2"/>
    <row r="43" spans="2:7" customFormat="1" x14ac:dyDescent="0.2"/>
    <row r="44" spans="2:7" customFormat="1" x14ac:dyDescent="0.2"/>
    <row r="45" spans="2:7" customFormat="1" x14ac:dyDescent="0.2"/>
    <row r="46" spans="2:7" customFormat="1" x14ac:dyDescent="0.2"/>
    <row r="47" spans="2:7" customFormat="1" x14ac:dyDescent="0.2"/>
    <row r="48" spans="2:7"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sheetData>
  <pageMargins left="0.75" right="0.75" top="1" bottom="1" header="0.5" footer="0.5"/>
  <pageSetup orientation="portrait" r:id="rId1"/>
  <headerFooter alignWithMargins="0">
    <oddFooter>&amp;L&amp;8© AMT Training 2008 - 2016</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P35"/>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16" width="11.7109375" customWidth="1"/>
    <col min="20" max="20" width="10.28515625" customWidth="1"/>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#3</v>
      </c>
      <c r="B2" s="77"/>
      <c r="C2" s="77"/>
      <c r="D2" s="78"/>
      <c r="E2" s="78"/>
      <c r="F2" s="78"/>
      <c r="G2" s="78"/>
      <c r="H2" s="78"/>
      <c r="I2" s="78"/>
      <c r="J2" s="78"/>
      <c r="K2" s="78"/>
      <c r="L2" s="78"/>
      <c r="M2" s="78"/>
      <c r="N2" s="78"/>
      <c r="O2" s="78"/>
      <c r="P2" s="78"/>
    </row>
    <row r="3" spans="1:16" ht="13.5" thickTop="1" x14ac:dyDescent="0.2"/>
    <row r="4" spans="1:16" ht="15" x14ac:dyDescent="0.25">
      <c r="B4" s="92" t="s">
        <v>607</v>
      </c>
    </row>
    <row r="5" spans="1:16" x14ac:dyDescent="0.2">
      <c r="B5" s="28" t="s">
        <v>608</v>
      </c>
    </row>
    <row r="6" spans="1:16" x14ac:dyDescent="0.2">
      <c r="B6" s="28" t="s">
        <v>369</v>
      </c>
    </row>
    <row r="7" spans="1:16" ht="15" x14ac:dyDescent="0.25">
      <c r="B7" s="92" t="s">
        <v>370</v>
      </c>
    </row>
    <row r="10" spans="1:16" ht="15" x14ac:dyDescent="0.25">
      <c r="C10" s="93" t="s">
        <v>371</v>
      </c>
      <c r="D10" s="94" t="s">
        <v>372</v>
      </c>
      <c r="E10" s="94" t="s">
        <v>373</v>
      </c>
      <c r="F10" s="95" t="s">
        <v>374</v>
      </c>
    </row>
    <row r="11" spans="1:16" x14ac:dyDescent="0.2">
      <c r="C11" s="96">
        <v>1</v>
      </c>
      <c r="D11" s="97">
        <v>6000</v>
      </c>
      <c r="E11" s="97">
        <v>10000</v>
      </c>
      <c r="F11" s="98">
        <v>13200</v>
      </c>
    </row>
    <row r="12" spans="1:16" x14ac:dyDescent="0.2">
      <c r="C12" s="96">
        <v>2</v>
      </c>
      <c r="D12" s="97">
        <v>6000</v>
      </c>
      <c r="E12" s="97">
        <v>8000</v>
      </c>
      <c r="F12" s="98">
        <v>7920</v>
      </c>
    </row>
    <row r="13" spans="1:16" x14ac:dyDescent="0.2">
      <c r="C13" s="96">
        <v>3</v>
      </c>
      <c r="D13" s="97">
        <v>6000</v>
      </c>
      <c r="E13" s="97">
        <v>6000</v>
      </c>
      <c r="F13" s="98">
        <v>4752</v>
      </c>
    </row>
    <row r="14" spans="1:16" x14ac:dyDescent="0.2">
      <c r="C14" s="96">
        <v>4</v>
      </c>
      <c r="D14" s="97">
        <v>6000</v>
      </c>
      <c r="E14" s="97">
        <v>4000</v>
      </c>
      <c r="F14" s="98">
        <v>2851</v>
      </c>
    </row>
    <row r="15" spans="1:16" x14ac:dyDescent="0.2">
      <c r="C15" s="96">
        <v>5</v>
      </c>
      <c r="D15" s="97">
        <v>6000</v>
      </c>
      <c r="E15" s="97">
        <v>2000</v>
      </c>
      <c r="F15" s="98">
        <v>1277</v>
      </c>
    </row>
    <row r="16" spans="1:16" s="28" customFormat="1" x14ac:dyDescent="0.2">
      <c r="C16" s="99" t="s">
        <v>24</v>
      </c>
      <c r="D16" s="100">
        <f>SUM(D11:D15)</f>
        <v>30000</v>
      </c>
      <c r="E16" s="100">
        <f>SUM(E11:E15)</f>
        <v>30000</v>
      </c>
      <c r="F16" s="101">
        <f>SUM(F11:F15)</f>
        <v>30000</v>
      </c>
    </row>
    <row r="19" spans="1:7" ht="15" x14ac:dyDescent="0.25">
      <c r="A19" s="81" t="s">
        <v>375</v>
      </c>
    </row>
    <row r="20" spans="1:7" ht="15" x14ac:dyDescent="0.25">
      <c r="A20" s="81"/>
      <c r="B20" s="102"/>
    </row>
    <row r="21" spans="1:7" ht="15" x14ac:dyDescent="0.25">
      <c r="A21" s="81"/>
    </row>
    <row r="22" spans="1:7" ht="15" x14ac:dyDescent="0.25">
      <c r="A22" s="81" t="s">
        <v>376</v>
      </c>
    </row>
    <row r="23" spans="1:7" ht="15" x14ac:dyDescent="0.25">
      <c r="A23" s="81"/>
      <c r="B23" s="103"/>
    </row>
    <row r="24" spans="1:7" ht="15" x14ac:dyDescent="0.25">
      <c r="A24" s="81"/>
    </row>
    <row r="25" spans="1:7" ht="15" x14ac:dyDescent="0.25">
      <c r="A25" s="81" t="s">
        <v>377</v>
      </c>
    </row>
    <row r="26" spans="1:7" ht="15" x14ac:dyDescent="0.25">
      <c r="A26" s="81"/>
      <c r="B26" s="103"/>
    </row>
    <row r="27" spans="1:7" ht="15" x14ac:dyDescent="0.25">
      <c r="A27" s="81"/>
    </row>
    <row r="28" spans="1:7" ht="15" x14ac:dyDescent="0.25">
      <c r="A28" s="81" t="s">
        <v>378</v>
      </c>
    </row>
    <row r="29" spans="1:7" ht="15" x14ac:dyDescent="0.25">
      <c r="A29" s="81"/>
      <c r="B29" s="103"/>
    </row>
    <row r="30" spans="1:7" ht="15" x14ac:dyDescent="0.25">
      <c r="A30" s="81"/>
    </row>
    <row r="31" spans="1:7" ht="15" x14ac:dyDescent="0.25">
      <c r="A31" s="81" t="s">
        <v>379</v>
      </c>
    </row>
    <row r="32" spans="1:7" ht="15" x14ac:dyDescent="0.25">
      <c r="A32" s="81"/>
      <c r="B32" s="104"/>
      <c r="C32" s="105"/>
      <c r="D32" s="105"/>
      <c r="E32" s="105"/>
      <c r="F32" s="105"/>
      <c r="G32" s="106"/>
    </row>
    <row r="33" spans="1:2" ht="15" x14ac:dyDescent="0.25">
      <c r="A33" s="81"/>
    </row>
    <row r="34" spans="1:2" ht="15" x14ac:dyDescent="0.25">
      <c r="A34" s="81" t="s">
        <v>380</v>
      </c>
    </row>
    <row r="35" spans="1:2" x14ac:dyDescent="0.2">
      <c r="B35" s="103"/>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P132"/>
  <sheetViews>
    <sheetView showGridLines="0" zoomScaleNormal="100" workbookViewId="0">
      <pane ySplit="2" topLeftCell="A3" activePane="bottomLeft" state="frozen"/>
      <selection pane="bottomLeft" activeCell="E18" sqref="E18"/>
    </sheetView>
  </sheetViews>
  <sheetFormatPr defaultColWidth="9.140625" defaultRowHeight="12.75" x14ac:dyDescent="0.2"/>
  <cols>
    <col min="1" max="1" width="1.7109375" style="47" customWidth="1"/>
    <col min="2" max="2" width="33.5703125" style="47" bestFit="1" customWidth="1"/>
    <col min="3" max="3" width="10.7109375" style="47" bestFit="1" customWidth="1"/>
    <col min="4" max="4" width="10.140625" style="47" bestFit="1" customWidth="1"/>
    <col min="5" max="5" width="9.140625" style="47"/>
    <col min="6" max="6" width="9" style="47"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#4</v>
      </c>
      <c r="B2" s="77"/>
      <c r="C2" s="77"/>
      <c r="D2" s="78"/>
      <c r="E2" s="78"/>
      <c r="F2" s="78"/>
      <c r="G2" s="78"/>
      <c r="H2" s="78"/>
      <c r="I2" s="78"/>
      <c r="J2" s="78"/>
      <c r="K2" s="78"/>
      <c r="L2" s="78"/>
      <c r="M2" s="78"/>
      <c r="N2" s="78"/>
      <c r="O2" s="78"/>
      <c r="P2" s="78"/>
    </row>
    <row r="3" spans="1:16" ht="13.5" thickTop="1" x14ac:dyDescent="0.2"/>
    <row r="4" spans="1:16" x14ac:dyDescent="0.2">
      <c r="B4" s="82" t="s">
        <v>381</v>
      </c>
    </row>
    <row r="5" spans="1:16" x14ac:dyDescent="0.2">
      <c r="B5" s="57" t="s">
        <v>382</v>
      </c>
    </row>
    <row r="6" spans="1:16" x14ac:dyDescent="0.2">
      <c r="B6" s="57" t="s">
        <v>383</v>
      </c>
    </row>
    <row r="8" spans="1:16" ht="15" x14ac:dyDescent="0.25">
      <c r="C8" s="79" t="s">
        <v>384</v>
      </c>
      <c r="D8" s="79" t="s">
        <v>219</v>
      </c>
      <c r="E8" s="79" t="s">
        <v>218</v>
      </c>
      <c r="F8" s="79" t="s">
        <v>217</v>
      </c>
    </row>
    <row r="9" spans="1:16" x14ac:dyDescent="0.2">
      <c r="B9" t="s">
        <v>385</v>
      </c>
      <c r="C9" s="24">
        <v>7500</v>
      </c>
    </row>
    <row r="10" spans="1:16" x14ac:dyDescent="0.2">
      <c r="B10" t="s">
        <v>386</v>
      </c>
      <c r="C10" s="24">
        <v>500</v>
      </c>
    </row>
    <row r="11" spans="1:16" x14ac:dyDescent="0.2">
      <c r="B11" t="s">
        <v>387</v>
      </c>
      <c r="C11" s="24">
        <v>3</v>
      </c>
    </row>
    <row r="12" spans="1:16" x14ac:dyDescent="0.2">
      <c r="B12"/>
    </row>
    <row r="13" spans="1:16" x14ac:dyDescent="0.2">
      <c r="B13" t="s">
        <v>388</v>
      </c>
      <c r="D13" s="50">
        <f>(D14-$C$10)/$C$11</f>
        <v>2333.3333333333335</v>
      </c>
      <c r="E13" s="50">
        <f t="shared" ref="E13:F13" si="0">(E14-$C$10)/$C$11</f>
        <v>2333.3333333333335</v>
      </c>
      <c r="F13" s="50">
        <f t="shared" si="0"/>
        <v>2333.3333333333335</v>
      </c>
    </row>
    <row r="14" spans="1:16" x14ac:dyDescent="0.2">
      <c r="B14" t="s">
        <v>389</v>
      </c>
      <c r="C14" s="50">
        <f>C9</f>
        <v>7500</v>
      </c>
      <c r="D14" s="50">
        <f>C14</f>
        <v>7500</v>
      </c>
      <c r="E14" s="50">
        <f>D14</f>
        <v>7500</v>
      </c>
      <c r="F14" s="50">
        <f>E14</f>
        <v>7500</v>
      </c>
    </row>
    <row r="15" spans="1:16" x14ac:dyDescent="0.2">
      <c r="B15" t="s">
        <v>390</v>
      </c>
      <c r="D15" s="50">
        <f>SUM($D13:D13)</f>
        <v>2333.3333333333335</v>
      </c>
      <c r="E15" s="50">
        <f>SUM($D13:E13)</f>
        <v>4666.666666666667</v>
      </c>
      <c r="F15" s="50">
        <f>SUM($D13:F13)</f>
        <v>7000</v>
      </c>
    </row>
    <row r="16" spans="1:16" x14ac:dyDescent="0.2">
      <c r="B16" t="s">
        <v>391</v>
      </c>
      <c r="D16" s="50">
        <f>D14-D15</f>
        <v>5166.6666666666661</v>
      </c>
      <c r="E16" s="50">
        <f>E14-E15</f>
        <v>2833.333333333333</v>
      </c>
      <c r="F16" s="50">
        <f>F14-F15</f>
        <v>500</v>
      </c>
    </row>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sheetData>
  <pageMargins left="0.75" right="0.75" top="1" bottom="1" header="0.5" footer="0.5"/>
  <pageSetup orientation="portrait" r:id="rId1"/>
  <headerFooter alignWithMargins="0">
    <oddFooter>&amp;L&amp;8© AMT Training 2008 - 2016</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P6"/>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16" width="11.7109375" customWidth="1"/>
    <col min="20" max="20" width="10.28515625" customWidth="1"/>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#5</v>
      </c>
      <c r="B2" s="77"/>
      <c r="C2" s="77"/>
      <c r="D2" s="78"/>
      <c r="E2" s="78"/>
      <c r="F2" s="78"/>
      <c r="G2" s="78"/>
      <c r="H2" s="78"/>
      <c r="I2" s="78"/>
      <c r="J2" s="78"/>
      <c r="K2" s="78"/>
      <c r="L2" s="78"/>
      <c r="M2" s="78"/>
      <c r="N2" s="78"/>
      <c r="O2" s="78"/>
      <c r="P2" s="78"/>
    </row>
    <row r="3" spans="1:16" ht="13.5" thickTop="1" x14ac:dyDescent="0.2"/>
    <row r="4" spans="1:16" x14ac:dyDescent="0.2">
      <c r="B4" s="28" t="s">
        <v>392</v>
      </c>
    </row>
    <row r="6" spans="1:16" x14ac:dyDescent="0.2">
      <c r="B6" s="104"/>
      <c r="C6" s="106"/>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6"/>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16" width="11.7109375" customWidth="1"/>
    <col min="20" max="20" width="10.28515625" customWidth="1"/>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#6</v>
      </c>
      <c r="B2" s="77"/>
      <c r="C2" s="77"/>
      <c r="D2" s="78"/>
      <c r="E2" s="78"/>
      <c r="F2" s="78"/>
      <c r="G2" s="78"/>
      <c r="H2" s="78"/>
      <c r="I2" s="78"/>
      <c r="J2" s="78"/>
      <c r="K2" s="78"/>
      <c r="L2" s="78"/>
      <c r="M2" s="78"/>
      <c r="N2" s="78"/>
      <c r="O2" s="78"/>
      <c r="P2" s="78"/>
    </row>
    <row r="3" spans="1:16" ht="13.5" thickTop="1" x14ac:dyDescent="0.2"/>
    <row r="4" spans="1:16" x14ac:dyDescent="0.2">
      <c r="B4" s="28" t="s">
        <v>393</v>
      </c>
    </row>
    <row r="6" spans="1:16" x14ac:dyDescent="0.2">
      <c r="B6" s="104"/>
      <c r="C6" s="106"/>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9"/>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16" width="11.7109375" customWidth="1"/>
    <col min="20" max="20" width="10.28515625" customWidth="1"/>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#7</v>
      </c>
      <c r="B2" s="77"/>
      <c r="C2" s="77"/>
      <c r="D2" s="78"/>
      <c r="E2" s="78"/>
      <c r="F2" s="78"/>
      <c r="G2" s="78"/>
      <c r="H2" s="78"/>
      <c r="I2" s="78"/>
      <c r="J2" s="78"/>
      <c r="K2" s="78"/>
      <c r="L2" s="78"/>
      <c r="M2" s="78"/>
      <c r="N2" s="78"/>
      <c r="O2" s="78"/>
      <c r="P2" s="78"/>
    </row>
    <row r="3" spans="1:16" ht="13.5" thickTop="1" x14ac:dyDescent="0.2"/>
    <row r="4" spans="1:16" x14ac:dyDescent="0.2">
      <c r="B4" s="28" t="s">
        <v>394</v>
      </c>
    </row>
    <row r="5" spans="1:16" x14ac:dyDescent="0.2">
      <c r="C5" t="s">
        <v>395</v>
      </c>
    </row>
    <row r="6" spans="1:16" x14ac:dyDescent="0.2">
      <c r="C6" t="s">
        <v>396</v>
      </c>
    </row>
    <row r="7" spans="1:16" x14ac:dyDescent="0.2">
      <c r="C7" t="s">
        <v>397</v>
      </c>
    </row>
    <row r="8" spans="1:16" x14ac:dyDescent="0.2">
      <c r="C8" t="s">
        <v>398</v>
      </c>
    </row>
    <row r="9" spans="1:16" x14ac:dyDescent="0.2">
      <c r="C9" t="s">
        <v>399</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P6"/>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16" width="11.7109375" customWidth="1"/>
    <col min="20" max="20" width="10.28515625" customWidth="1"/>
  </cols>
  <sheetData>
    <row r="1" spans="1:16" s="3" customFormat="1" ht="30" x14ac:dyDescent="0.45">
      <c r="A1" s="9" t="s">
        <v>343</v>
      </c>
      <c r="B1" s="74"/>
      <c r="C1" s="74"/>
      <c r="D1" s="75"/>
      <c r="E1" s="75"/>
      <c r="F1" s="75"/>
      <c r="G1" s="75"/>
      <c r="H1" s="75"/>
      <c r="I1" s="75"/>
      <c r="J1" s="75"/>
      <c r="K1" s="75"/>
      <c r="L1" s="75"/>
      <c r="M1" s="75"/>
      <c r="N1" s="75"/>
      <c r="O1" s="75"/>
      <c r="P1" s="75"/>
    </row>
    <row r="2" spans="1:16" s="3" customFormat="1" ht="19.5" thickBot="1" x14ac:dyDescent="0.35">
      <c r="A2" s="76" t="str">
        <f ca="1">"Question NCA #"&amp;RIGHT(CELL("filename",$A$1),LEN(CELL("filename",$A$1))-FIND("]",CELL("filename",$A$1))-5)</f>
        <v>Question NCA #8</v>
      </c>
      <c r="B2" s="77"/>
      <c r="C2" s="77"/>
      <c r="D2" s="78"/>
      <c r="E2" s="78"/>
      <c r="F2" s="78"/>
      <c r="G2" s="78"/>
      <c r="H2" s="78"/>
      <c r="I2" s="78"/>
      <c r="J2" s="78"/>
      <c r="K2" s="78"/>
      <c r="L2" s="78"/>
      <c r="M2" s="78"/>
      <c r="N2" s="78"/>
      <c r="O2" s="78"/>
      <c r="P2" s="78"/>
    </row>
    <row r="3" spans="1:16" ht="13.5" thickTop="1" x14ac:dyDescent="0.2"/>
    <row r="4" spans="1:16" x14ac:dyDescent="0.2">
      <c r="B4" s="28" t="s">
        <v>400</v>
      </c>
    </row>
    <row r="6" spans="1:16" x14ac:dyDescent="0.2">
      <c r="B6" s="103"/>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8"/>
  <sheetViews>
    <sheetView showGridLines="0" zoomScaleNormal="100" workbookViewId="0">
      <pane ySplit="2" topLeftCell="A3" activePane="bottomLeft" state="frozen"/>
      <selection pane="bottomLeft" activeCell="C14" sqref="C14"/>
    </sheetView>
  </sheetViews>
  <sheetFormatPr defaultColWidth="9.28515625" defaultRowHeight="12.75" x14ac:dyDescent="0.2"/>
  <cols>
    <col min="1" max="1" width="1.7109375" style="14" customWidth="1"/>
    <col min="2" max="2" width="9.7109375" style="14" bestFit="1" customWidth="1"/>
    <col min="3" max="3" width="10.7109375" style="14" bestFit="1" customWidth="1"/>
    <col min="4" max="4" width="10.28515625" style="14" bestFit="1" customWidth="1"/>
    <col min="5" max="5" width="9.28515625" style="14"/>
    <col min="6" max="6" width="17.28515625" style="14" bestFit="1" customWidth="1"/>
    <col min="7" max="7" width="10.28515625" style="14" bestFit="1" customWidth="1"/>
    <col min="8" max="9" width="9.5703125" style="14" bestFit="1" customWidth="1"/>
    <col min="10" max="11" width="9.28515625" style="14"/>
    <col min="12" max="12" width="9.5703125" style="14" bestFit="1" customWidth="1"/>
    <col min="13" max="13" width="10.28515625" style="14" bestFit="1" customWidth="1"/>
    <col min="14" max="14" width="9.5703125" style="14" bestFit="1" customWidth="1"/>
    <col min="15" max="15" width="9.28515625" style="14"/>
    <col min="16" max="16" width="9.5703125" style="14" bestFit="1" customWidth="1"/>
    <col min="17" max="17" width="9.28515625" style="14"/>
    <col min="18" max="18" width="9.5703125" style="14" bestFit="1" customWidth="1"/>
    <col min="19" max="19" width="10.28515625" style="14" bestFit="1" customWidth="1"/>
    <col min="20" max="16384" width="9.28515625" style="14"/>
  </cols>
  <sheetData>
    <row r="1" spans="1:10" ht="30" x14ac:dyDescent="0.45">
      <c r="A1" s="9" t="str">
        <f>CoName</f>
        <v>Accounting fundamentals</v>
      </c>
      <c r="B1" s="10"/>
      <c r="C1" s="10"/>
      <c r="D1" s="11"/>
      <c r="E1" s="11"/>
      <c r="F1" s="11"/>
      <c r="G1" s="11"/>
      <c r="H1" s="11"/>
      <c r="I1" s="11"/>
      <c r="J1" s="11"/>
    </row>
    <row r="2" spans="1:10" ht="19.5" thickBot="1" x14ac:dyDescent="0.35">
      <c r="A2" s="5" t="str">
        <f ca="1">"Question AF #"&amp;RIGHT(CELL("filename",$A$1),LEN(CELL("filename",$A$1))-FIND("]",CELL("filename",$A$1))-4)</f>
        <v>Question AF #3</v>
      </c>
      <c r="B2" s="12"/>
      <c r="C2" s="12"/>
      <c r="D2" s="13"/>
      <c r="E2" s="13"/>
      <c r="F2" s="13"/>
      <c r="G2" s="13"/>
      <c r="H2" s="13"/>
      <c r="I2" s="13"/>
      <c r="J2" s="13"/>
    </row>
    <row r="3" spans="1:10" ht="13.5" thickTop="1" x14ac:dyDescent="0.2"/>
    <row r="4" spans="1:10" s="16" customFormat="1" x14ac:dyDescent="0.2">
      <c r="B4" s="23" t="s">
        <v>91</v>
      </c>
    </row>
    <row r="6" spans="1:10" x14ac:dyDescent="0.2">
      <c r="C6" s="14" t="s">
        <v>82</v>
      </c>
      <c r="D6" s="14" t="s">
        <v>8</v>
      </c>
    </row>
    <row r="7" spans="1:10" x14ac:dyDescent="0.2">
      <c r="C7" s="14" t="s">
        <v>83</v>
      </c>
      <c r="D7" s="14" t="s">
        <v>10</v>
      </c>
    </row>
    <row r="8" spans="1:10" x14ac:dyDescent="0.2">
      <c r="C8" s="14" t="s">
        <v>84</v>
      </c>
      <c r="D8" s="14" t="s">
        <v>92</v>
      </c>
    </row>
    <row r="9" spans="1:10" customFormat="1" x14ac:dyDescent="0.2">
      <c r="C9" s="14" t="s">
        <v>85</v>
      </c>
      <c r="D9" s="14" t="s">
        <v>93</v>
      </c>
      <c r="E9" s="14"/>
      <c r="F9" s="14"/>
    </row>
    <row r="10" spans="1:10" customFormat="1" x14ac:dyDescent="0.2">
      <c r="C10" s="14"/>
      <c r="D10" s="14"/>
      <c r="E10" s="14"/>
      <c r="F10" s="14"/>
    </row>
    <row r="11" spans="1:10" customFormat="1" x14ac:dyDescent="0.2">
      <c r="C11" s="14"/>
      <c r="D11" s="14"/>
      <c r="E11" s="14"/>
      <c r="F11" s="14"/>
    </row>
    <row r="12" spans="1:10" customFormat="1" x14ac:dyDescent="0.2">
      <c r="B12" s="28" t="s">
        <v>89</v>
      </c>
      <c r="C12" s="14"/>
      <c r="D12" s="14"/>
      <c r="E12" s="14"/>
      <c r="F12" s="14"/>
    </row>
    <row r="13" spans="1:10" customFormat="1" x14ac:dyDescent="0.2">
      <c r="C13" s="127" t="s">
        <v>83</v>
      </c>
      <c r="D13" s="14"/>
      <c r="E13" s="14"/>
      <c r="F13" s="14"/>
    </row>
    <row r="14" spans="1:10" customFormat="1" x14ac:dyDescent="0.2"/>
    <row r="15" spans="1:10" customFormat="1" x14ac:dyDescent="0.2"/>
    <row r="16" spans="1:10"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sheetData>
  <pageMargins left="0.75" right="0.75" top="1" bottom="1" header="0.5" footer="0.5"/>
  <pageSetup orientation="portrait" r:id="rId1"/>
  <headerFooter alignWithMargins="0">
    <oddFooter>&amp;L&amp;8© AMT Training 2008 - 2016</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R128"/>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3.5703125" style="47" bestFit="1" customWidth="1"/>
    <col min="3" max="3" width="10.7109375" style="47" bestFit="1" customWidth="1"/>
    <col min="4" max="4" width="10.140625" style="47" bestFit="1" customWidth="1"/>
    <col min="5" max="5" width="9.140625" style="47"/>
    <col min="6" max="6" width="9" style="47"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8" s="3" customFormat="1" ht="30" x14ac:dyDescent="0.45">
      <c r="A1" s="9" t="s">
        <v>343</v>
      </c>
      <c r="B1" s="74"/>
      <c r="C1" s="74"/>
      <c r="D1" s="75"/>
      <c r="E1" s="75"/>
      <c r="F1" s="75"/>
      <c r="G1" s="75"/>
      <c r="H1" s="75"/>
      <c r="I1" s="75"/>
      <c r="J1" s="75"/>
      <c r="K1" s="75"/>
      <c r="L1" s="75"/>
      <c r="M1" s="75"/>
      <c r="N1" s="75"/>
      <c r="O1" s="75"/>
      <c r="P1" s="75"/>
    </row>
    <row r="2" spans="1:18" s="3" customFormat="1" ht="19.5" thickBot="1" x14ac:dyDescent="0.35">
      <c r="A2" s="76" t="str">
        <f ca="1">"Question NCA #"&amp;RIGHT(CELL("filename",$A$1),LEN(CELL("filename",$A$1))-FIND("]",CELL("filename",$A$1))-5)</f>
        <v>Question NCA #9</v>
      </c>
      <c r="B2" s="77"/>
      <c r="C2" s="77"/>
      <c r="D2" s="78"/>
      <c r="E2" s="78"/>
      <c r="F2" s="78"/>
      <c r="G2" s="78"/>
      <c r="H2" s="78"/>
      <c r="I2" s="78"/>
      <c r="J2" s="78"/>
      <c r="K2" s="78"/>
      <c r="L2" s="78"/>
      <c r="M2" s="78"/>
      <c r="N2" s="78"/>
      <c r="O2" s="78"/>
      <c r="P2" s="78"/>
    </row>
    <row r="3" spans="1:18" ht="13.5" thickTop="1" x14ac:dyDescent="0.2"/>
    <row r="4" spans="1:18" x14ac:dyDescent="0.2">
      <c r="B4" s="82" t="s">
        <v>401</v>
      </c>
    </row>
    <row r="7" spans="1:18" ht="15" x14ac:dyDescent="0.25">
      <c r="C7" s="79" t="s">
        <v>384</v>
      </c>
      <c r="D7" s="79" t="s">
        <v>219</v>
      </c>
      <c r="E7" s="79" t="s">
        <v>218</v>
      </c>
      <c r="F7" s="79" t="s">
        <v>217</v>
      </c>
      <c r="G7" s="79" t="s">
        <v>402</v>
      </c>
      <c r="H7" s="79" t="s">
        <v>403</v>
      </c>
      <c r="I7" s="79" t="s">
        <v>404</v>
      </c>
      <c r="J7" s="79" t="s">
        <v>405</v>
      </c>
      <c r="K7" s="79" t="s">
        <v>406</v>
      </c>
      <c r="L7" s="79" t="s">
        <v>407</v>
      </c>
      <c r="M7" s="79" t="s">
        <v>408</v>
      </c>
      <c r="N7" s="79" t="s">
        <v>409</v>
      </c>
      <c r="O7" s="79" t="s">
        <v>410</v>
      </c>
      <c r="P7" s="79" t="s">
        <v>411</v>
      </c>
      <c r="Q7" s="79" t="s">
        <v>412</v>
      </c>
      <c r="R7" s="79" t="s">
        <v>413</v>
      </c>
    </row>
    <row r="8" spans="1:18" x14ac:dyDescent="0.2">
      <c r="B8" t="s">
        <v>414</v>
      </c>
      <c r="C8" s="24">
        <v>2500</v>
      </c>
    </row>
    <row r="9" spans="1:18" x14ac:dyDescent="0.2">
      <c r="B9" t="s">
        <v>387</v>
      </c>
      <c r="C9" s="24">
        <v>15</v>
      </c>
    </row>
    <row r="10" spans="1:18" x14ac:dyDescent="0.2">
      <c r="B10"/>
    </row>
    <row r="11" spans="1:18" x14ac:dyDescent="0.2">
      <c r="B11" t="s">
        <v>415</v>
      </c>
      <c r="D11" s="50"/>
      <c r="E11" s="50"/>
      <c r="F11" s="50"/>
      <c r="G11" s="50"/>
      <c r="H11" s="50"/>
      <c r="I11" s="50"/>
      <c r="J11" s="50"/>
      <c r="K11" s="50"/>
      <c r="L11" s="50"/>
      <c r="M11" s="50"/>
      <c r="N11" s="50"/>
      <c r="O11" s="50"/>
      <c r="P11" s="50"/>
      <c r="Q11" s="50"/>
      <c r="R11" s="50"/>
    </row>
    <row r="12" spans="1:18" x14ac:dyDescent="0.2">
      <c r="B12" t="s">
        <v>416</v>
      </c>
      <c r="C12" s="107"/>
      <c r="D12" s="50"/>
      <c r="E12" s="50"/>
      <c r="F12" s="50"/>
      <c r="G12" s="50"/>
      <c r="H12" s="50"/>
      <c r="I12" s="50"/>
      <c r="J12" s="50"/>
      <c r="K12" s="50"/>
      <c r="L12" s="50"/>
      <c r="M12" s="50"/>
      <c r="N12" s="50"/>
      <c r="O12" s="50"/>
      <c r="P12" s="50"/>
      <c r="Q12" s="50"/>
      <c r="R12" s="50"/>
    </row>
    <row r="13" spans="1:18" customFormat="1" x14ac:dyDescent="0.2"/>
    <row r="14" spans="1:18" customFormat="1" x14ac:dyDescent="0.2"/>
    <row r="15" spans="1:18" customFormat="1" x14ac:dyDescent="0.2"/>
    <row r="16" spans="1:1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sheetData>
  <pageMargins left="0.75" right="0.75" top="1" bottom="1" header="0.5" footer="0.5"/>
  <pageSetup orientation="portrait" r:id="rId1"/>
  <headerFooter alignWithMargins="0">
    <oddFooter>&amp;L&amp;8© AMT Training 2008 - 2016</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P168"/>
  <sheetViews>
    <sheetView showGridLines="0" zoomScaleNormal="100" workbookViewId="0">
      <pane ySplit="2" topLeftCell="A3" activePane="bottomLeft" state="frozen"/>
      <selection pane="bottomLeft" activeCell="D23" sqref="D23"/>
    </sheetView>
  </sheetViews>
  <sheetFormatPr defaultColWidth="9.140625" defaultRowHeight="12.75" x14ac:dyDescent="0.2"/>
  <cols>
    <col min="1" max="1" width="1.7109375" style="47" customWidth="1"/>
    <col min="2" max="2" width="26.5703125"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#1</v>
      </c>
      <c r="B2" s="77"/>
      <c r="C2" s="77"/>
      <c r="D2" s="78"/>
      <c r="E2" s="78"/>
      <c r="F2" s="78"/>
      <c r="G2" s="78"/>
      <c r="H2" s="78"/>
      <c r="I2" s="78"/>
      <c r="J2" s="78"/>
      <c r="K2" s="78"/>
      <c r="L2" s="78"/>
      <c r="M2" s="78"/>
      <c r="N2" s="78"/>
      <c r="O2" s="78"/>
      <c r="P2" s="78"/>
    </row>
    <row r="3" spans="1:16" ht="13.5" thickTop="1" x14ac:dyDescent="0.2"/>
    <row r="4" spans="1:16" x14ac:dyDescent="0.2">
      <c r="B4" s="82" t="s">
        <v>419</v>
      </c>
    </row>
    <row r="7" spans="1:16" s="57" customFormat="1" x14ac:dyDescent="0.2">
      <c r="B7" s="57" t="s">
        <v>420</v>
      </c>
    </row>
    <row r="8" spans="1:16" x14ac:dyDescent="0.2">
      <c r="B8" s="47" t="s">
        <v>421</v>
      </c>
      <c r="C8" s="39">
        <v>722</v>
      </c>
      <c r="D8" s="39">
        <v>1260.5</v>
      </c>
    </row>
    <row r="9" spans="1:16" x14ac:dyDescent="0.2">
      <c r="B9" s="47" t="s">
        <v>422</v>
      </c>
      <c r="C9" s="39">
        <v>1112.2</v>
      </c>
      <c r="D9" s="39">
        <v>770.9</v>
      </c>
    </row>
    <row r="10" spans="1:16" x14ac:dyDescent="0.2">
      <c r="B10" s="47" t="s">
        <v>423</v>
      </c>
      <c r="C10" s="39">
        <v>53.9</v>
      </c>
      <c r="D10" s="39">
        <v>107.7</v>
      </c>
    </row>
    <row r="11" spans="1:16" x14ac:dyDescent="0.2">
      <c r="B11" s="47" t="s">
        <v>424</v>
      </c>
      <c r="C11" s="39">
        <v>172.1</v>
      </c>
      <c r="D11" s="39">
        <v>131.69999999999999</v>
      </c>
    </row>
    <row r="12" spans="1:16" s="57" customFormat="1" x14ac:dyDescent="0.2">
      <c r="B12" s="57" t="s">
        <v>71</v>
      </c>
      <c r="C12" s="57">
        <f>SUM(C8:C11)</f>
        <v>2060.2000000000003</v>
      </c>
      <c r="D12" s="57">
        <f>SUM(D8:D11)</f>
        <v>2270.7999999999997</v>
      </c>
    </row>
    <row r="14" spans="1:16" x14ac:dyDescent="0.2">
      <c r="B14" s="57" t="s">
        <v>425</v>
      </c>
    </row>
    <row r="15" spans="1:16" x14ac:dyDescent="0.2">
      <c r="B15" s="47" t="s">
        <v>421</v>
      </c>
      <c r="C15" s="39">
        <v>126.4</v>
      </c>
      <c r="D15" s="39">
        <v>183.8</v>
      </c>
    </row>
    <row r="16" spans="1:16" x14ac:dyDescent="0.2">
      <c r="B16" s="47" t="s">
        <v>422</v>
      </c>
      <c r="C16" s="39">
        <v>1259.5999999999999</v>
      </c>
      <c r="D16" s="39">
        <v>2234.3000000000002</v>
      </c>
    </row>
    <row r="17" spans="1:4" x14ac:dyDescent="0.2">
      <c r="B17" s="47" t="s">
        <v>426</v>
      </c>
      <c r="C17" s="39">
        <v>307.8</v>
      </c>
      <c r="D17" s="39">
        <v>326.3</v>
      </c>
    </row>
    <row r="18" spans="1:4" x14ac:dyDescent="0.2">
      <c r="B18" s="47" t="s">
        <v>424</v>
      </c>
      <c r="C18" s="39">
        <v>88.9</v>
      </c>
      <c r="D18" s="39">
        <v>80.599999999999994</v>
      </c>
    </row>
    <row r="19" spans="1:4" s="57" customFormat="1" x14ac:dyDescent="0.2">
      <c r="B19" s="57" t="s">
        <v>427</v>
      </c>
      <c r="C19" s="57">
        <f>SUM(C15:C18)</f>
        <v>1782.7</v>
      </c>
      <c r="D19" s="57">
        <f>SUM(D15:D18)</f>
        <v>2825.0000000000005</v>
      </c>
    </row>
    <row r="20" spans="1:4" s="57" customFormat="1" x14ac:dyDescent="0.2">
      <c r="B20" s="57" t="s">
        <v>74</v>
      </c>
      <c r="C20" s="57">
        <f>SUM(C12,C19)</f>
        <v>3842.9000000000005</v>
      </c>
      <c r="D20" s="57">
        <f>SUM(D12,D19)</f>
        <v>5095.8</v>
      </c>
    </row>
    <row r="22" spans="1:4" ht="15" x14ac:dyDescent="0.25">
      <c r="A22" s="51" t="s">
        <v>143</v>
      </c>
    </row>
    <row r="23" spans="1:4" x14ac:dyDescent="0.2">
      <c r="B23" s="47" t="s">
        <v>428</v>
      </c>
      <c r="C23" s="50">
        <f>C9+C16</f>
        <v>2371.8000000000002</v>
      </c>
      <c r="D23" s="50">
        <f>D9+D16</f>
        <v>3005.2000000000003</v>
      </c>
    </row>
    <row r="24" spans="1:4" customFormat="1" x14ac:dyDescent="0.2"/>
    <row r="25" spans="1:4" customFormat="1" x14ac:dyDescent="0.2"/>
    <row r="26" spans="1:4" customFormat="1" x14ac:dyDescent="0.2"/>
    <row r="27" spans="1:4" customFormat="1" x14ac:dyDescent="0.2"/>
    <row r="28" spans="1:4" customFormat="1" x14ac:dyDescent="0.2"/>
    <row r="29" spans="1:4" customFormat="1" x14ac:dyDescent="0.2"/>
    <row r="30" spans="1:4" customFormat="1" x14ac:dyDescent="0.2"/>
    <row r="31" spans="1:4" customFormat="1" x14ac:dyDescent="0.2"/>
    <row r="32" spans="1:4"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sheetData>
  <pageMargins left="0.75" right="0.75" top="1" bottom="1" header="0.5" footer="0.5"/>
  <pageSetup orientation="portrait" r:id="rId1"/>
  <headerFooter alignWithMargins="0">
    <oddFooter>&amp;L&amp;8© AMT Training 2008 - 2016</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P141"/>
  <sheetViews>
    <sheetView showGridLines="0" zoomScaleNormal="100" workbookViewId="0">
      <pane ySplit="2" topLeftCell="A3" activePane="bottomLeft" state="frozen"/>
      <selection pane="bottomLeft" activeCell="D26" sqref="D26"/>
    </sheetView>
  </sheetViews>
  <sheetFormatPr defaultColWidth="9.140625" defaultRowHeight="12.75" x14ac:dyDescent="0.2"/>
  <cols>
    <col min="1" max="1" width="1.7109375" style="47" customWidth="1"/>
    <col min="2" max="2" width="26.5703125"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#2</v>
      </c>
      <c r="B2" s="77"/>
      <c r="C2" s="77"/>
      <c r="D2" s="78"/>
      <c r="E2" s="78"/>
      <c r="F2" s="78"/>
      <c r="G2" s="78"/>
      <c r="H2" s="78"/>
      <c r="I2" s="78"/>
      <c r="J2" s="78"/>
      <c r="K2" s="78"/>
      <c r="L2" s="78"/>
      <c r="M2" s="78"/>
      <c r="N2" s="78"/>
      <c r="O2" s="78"/>
      <c r="P2" s="78"/>
    </row>
    <row r="3" spans="1:16" ht="13.5" thickTop="1" x14ac:dyDescent="0.2"/>
    <row r="4" spans="1:16" x14ac:dyDescent="0.2">
      <c r="B4" s="82" t="s">
        <v>620</v>
      </c>
    </row>
    <row r="7" spans="1:16" x14ac:dyDescent="0.2">
      <c r="B7" s="57" t="s">
        <v>429</v>
      </c>
    </row>
    <row r="8" spans="1:16" x14ac:dyDescent="0.2">
      <c r="B8" s="47" t="s">
        <v>430</v>
      </c>
      <c r="C8" s="39">
        <v>709.6</v>
      </c>
      <c r="D8" s="39">
        <v>357.6</v>
      </c>
    </row>
    <row r="9" spans="1:16" x14ac:dyDescent="0.2">
      <c r="B9" s="47" t="s">
        <v>286</v>
      </c>
      <c r="C9" s="39">
        <v>692.1</v>
      </c>
      <c r="D9" s="39">
        <v>1429.3</v>
      </c>
    </row>
    <row r="10" spans="1:16" x14ac:dyDescent="0.2">
      <c r="B10" s="47" t="s">
        <v>108</v>
      </c>
      <c r="C10" s="39">
        <v>1054.8</v>
      </c>
      <c r="D10" s="39">
        <v>1159.3</v>
      </c>
    </row>
    <row r="11" spans="1:16" x14ac:dyDescent="0.2">
      <c r="B11" s="47" t="s">
        <v>59</v>
      </c>
      <c r="C11" s="39">
        <v>55.8</v>
      </c>
      <c r="D11" s="39">
        <v>55.1</v>
      </c>
    </row>
    <row r="12" spans="1:16" s="57" customFormat="1" x14ac:dyDescent="0.2">
      <c r="B12" s="57" t="s">
        <v>69</v>
      </c>
      <c r="C12" s="57">
        <v>2512.3000000000002</v>
      </c>
      <c r="D12" s="57">
        <v>3001.3</v>
      </c>
    </row>
    <row r="14" spans="1:16" x14ac:dyDescent="0.2">
      <c r="B14" s="47" t="s">
        <v>343</v>
      </c>
    </row>
    <row r="15" spans="1:16" x14ac:dyDescent="0.2">
      <c r="B15" s="47" t="s">
        <v>286</v>
      </c>
      <c r="C15" s="39">
        <v>82.8</v>
      </c>
      <c r="D15" s="39">
        <v>102.7</v>
      </c>
    </row>
    <row r="16" spans="1:16" x14ac:dyDescent="0.2">
      <c r="B16" s="47" t="s">
        <v>108</v>
      </c>
      <c r="C16" s="39">
        <v>552.6</v>
      </c>
      <c r="D16" s="39">
        <v>571.79999999999995</v>
      </c>
    </row>
    <row r="17" spans="1:4" x14ac:dyDescent="0.2">
      <c r="B17" s="47" t="s">
        <v>431</v>
      </c>
      <c r="C17" s="39">
        <v>2142.5</v>
      </c>
      <c r="D17" s="39">
        <v>2771.8</v>
      </c>
    </row>
    <row r="18" spans="1:4" x14ac:dyDescent="0.2">
      <c r="B18" s="47" t="s">
        <v>432</v>
      </c>
      <c r="C18" s="39">
        <v>265.3</v>
      </c>
      <c r="D18" s="39">
        <v>328.5</v>
      </c>
    </row>
    <row r="19" spans="1:4" x14ac:dyDescent="0.2">
      <c r="B19" s="47" t="s">
        <v>433</v>
      </c>
      <c r="C19" s="39">
        <v>2285.8000000000002</v>
      </c>
      <c r="D19" s="39">
        <v>2433.4</v>
      </c>
    </row>
    <row r="20" spans="1:4" x14ac:dyDescent="0.2">
      <c r="B20" s="47" t="s">
        <v>434</v>
      </c>
      <c r="C20" s="39">
        <v>387</v>
      </c>
      <c r="D20" s="39">
        <v>247.7</v>
      </c>
    </row>
    <row r="21" spans="1:4" x14ac:dyDescent="0.2">
      <c r="B21" s="47" t="s">
        <v>61</v>
      </c>
      <c r="C21" s="39">
        <v>46.5</v>
      </c>
      <c r="D21" s="39">
        <v>40.1</v>
      </c>
    </row>
    <row r="22" spans="1:4" s="57" customFormat="1" x14ac:dyDescent="0.2">
      <c r="B22" s="57" t="s">
        <v>435</v>
      </c>
      <c r="C22" s="57">
        <v>5762.5</v>
      </c>
      <c r="D22" s="57">
        <v>6496</v>
      </c>
    </row>
    <row r="23" spans="1:4" s="57" customFormat="1" x14ac:dyDescent="0.2">
      <c r="B23" s="57" t="s">
        <v>37</v>
      </c>
      <c r="C23" s="57">
        <v>8274.7999999999993</v>
      </c>
      <c r="D23" s="57">
        <v>9497.2999999999993</v>
      </c>
    </row>
    <row r="25" spans="1:4" customFormat="1" ht="15" x14ac:dyDescent="0.25">
      <c r="A25" s="51" t="s">
        <v>143</v>
      </c>
    </row>
    <row r="26" spans="1:4" customFormat="1" x14ac:dyDescent="0.2">
      <c r="B26" s="47" t="s">
        <v>619</v>
      </c>
      <c r="C26" s="50">
        <f>'D&amp;E Q1'!C23-('D&amp;E Q2'!C8)</f>
        <v>1662.2000000000003</v>
      </c>
      <c r="D26" s="50">
        <f>'D&amp;E Q1'!D23-('D&amp;E Q2'!D8)</f>
        <v>2647.6000000000004</v>
      </c>
    </row>
    <row r="27" spans="1:4" customFormat="1" x14ac:dyDescent="0.2"/>
    <row r="28" spans="1:4" customFormat="1" x14ac:dyDescent="0.2"/>
    <row r="29" spans="1:4" customFormat="1" x14ac:dyDescent="0.2"/>
    <row r="30" spans="1:4" customFormat="1" x14ac:dyDescent="0.2"/>
    <row r="31" spans="1:4" customFormat="1" x14ac:dyDescent="0.2"/>
    <row r="32" spans="1:4"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sheetData>
  <pageMargins left="0.75" right="0.75" top="1" bottom="1" header="0.5" footer="0.5"/>
  <pageSetup orientation="portrait" r:id="rId1"/>
  <headerFooter alignWithMargins="0">
    <oddFooter>&amp;L&amp;8© AMT Training 2008 - 2016</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P176"/>
  <sheetViews>
    <sheetView showGridLines="0" zoomScaleNormal="100" workbookViewId="0">
      <pane ySplit="2" topLeftCell="A3" activePane="bottomLeft" state="frozen"/>
      <selection pane="bottomLeft" activeCell="C8" sqref="C8"/>
    </sheetView>
  </sheetViews>
  <sheetFormatPr defaultColWidth="9.140625" defaultRowHeight="12.75" x14ac:dyDescent="0.2"/>
  <cols>
    <col min="1" max="1" width="1.7109375" style="47" customWidth="1"/>
    <col min="2" max="2" width="38.85546875"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#3</v>
      </c>
      <c r="B2" s="77"/>
      <c r="C2" s="77"/>
      <c r="D2" s="78"/>
      <c r="E2" s="78"/>
      <c r="F2" s="78"/>
      <c r="G2" s="78"/>
      <c r="H2" s="78"/>
      <c r="I2" s="78"/>
      <c r="J2" s="78"/>
      <c r="K2" s="78"/>
      <c r="L2" s="78"/>
      <c r="M2" s="78"/>
      <c r="N2" s="78"/>
      <c r="O2" s="78"/>
      <c r="P2" s="78"/>
    </row>
    <row r="3" spans="1:16" ht="13.5" thickTop="1" x14ac:dyDescent="0.2"/>
    <row r="4" spans="1:16" x14ac:dyDescent="0.2">
      <c r="B4" s="82" t="s">
        <v>436</v>
      </c>
    </row>
    <row r="6" spans="1:16" x14ac:dyDescent="0.2">
      <c r="B6" s="109" t="s">
        <v>437</v>
      </c>
      <c r="C6" s="47">
        <f>'D&amp;E Q1'!C23/'D&amp;E Q3'!C34</f>
        <v>6.4714870395634438</v>
      </c>
      <c r="D6" s="47">
        <f>'D&amp;E Q1'!D23/'D&amp;E Q3'!D34</f>
        <v>5.49798755945847</v>
      </c>
    </row>
    <row r="7" spans="1:16" x14ac:dyDescent="0.2">
      <c r="B7" s="109" t="s">
        <v>438</v>
      </c>
      <c r="C7" s="47">
        <f>C34/C19</f>
        <v>1.5386230058774129</v>
      </c>
      <c r="D7" s="47">
        <f>D34/D19</f>
        <v>1.8262612763113937</v>
      </c>
    </row>
    <row r="9" spans="1:16" x14ac:dyDescent="0.2">
      <c r="B9" s="47" t="s">
        <v>439</v>
      </c>
      <c r="C9" s="39">
        <v>3908.1</v>
      </c>
      <c r="D9" s="39">
        <v>4637.8</v>
      </c>
    </row>
    <row r="10" spans="1:16" x14ac:dyDescent="0.2">
      <c r="B10" s="47" t="s">
        <v>303</v>
      </c>
      <c r="C10" s="39">
        <v>2020.9</v>
      </c>
      <c r="D10" s="39">
        <v>2406.5</v>
      </c>
    </row>
    <row r="11" spans="1:16" s="57" customFormat="1" x14ac:dyDescent="0.2">
      <c r="B11" s="57" t="s">
        <v>27</v>
      </c>
      <c r="C11" s="57">
        <f>C9-C10</f>
        <v>1887.1999999999998</v>
      </c>
      <c r="D11" s="57">
        <f t="shared" ref="D11" si="0">D9-D10</f>
        <v>2231.3000000000002</v>
      </c>
    </row>
    <row r="12" spans="1:16" x14ac:dyDescent="0.2">
      <c r="B12" s="47" t="s">
        <v>440</v>
      </c>
      <c r="C12" s="39">
        <v>454.2</v>
      </c>
      <c r="D12" s="39">
        <v>567.4</v>
      </c>
    </row>
    <row r="13" spans="1:16" x14ac:dyDescent="0.2">
      <c r="B13" s="47" t="s">
        <v>441</v>
      </c>
      <c r="C13" s="39">
        <v>343.8</v>
      </c>
      <c r="D13" s="39">
        <v>313.5</v>
      </c>
    </row>
    <row r="14" spans="1:16" x14ac:dyDescent="0.2">
      <c r="B14" s="47" t="s">
        <v>442</v>
      </c>
      <c r="C14" s="39">
        <v>106.6</v>
      </c>
      <c r="D14" s="39">
        <v>121.8</v>
      </c>
    </row>
    <row r="15" spans="1:16" x14ac:dyDescent="0.2">
      <c r="B15" s="47" t="s">
        <v>443</v>
      </c>
      <c r="C15" s="39">
        <v>632.20000000000005</v>
      </c>
      <c r="D15" s="39">
        <v>720.1</v>
      </c>
    </row>
    <row r="16" spans="1:16" x14ac:dyDescent="0.2">
      <c r="B16" s="47" t="s">
        <v>444</v>
      </c>
      <c r="C16" s="39">
        <v>188.8</v>
      </c>
      <c r="D16" s="39">
        <v>175.3</v>
      </c>
    </row>
    <row r="17" spans="1:4" s="57" customFormat="1" x14ac:dyDescent="0.2">
      <c r="B17" s="57" t="s">
        <v>445</v>
      </c>
      <c r="C17" s="57">
        <f>C11-C12-C13-C14-C15-C16</f>
        <v>161.59999999999974</v>
      </c>
      <c r="D17" s="57">
        <f>D11-D12-D13-D14-D15-D16</f>
        <v>333.2000000000001</v>
      </c>
    </row>
    <row r="18" spans="1:4" x14ac:dyDescent="0.2">
      <c r="B18" s="47" t="s">
        <v>446</v>
      </c>
      <c r="C18" s="39">
        <v>143.30000000000001</v>
      </c>
      <c r="D18" s="39">
        <v>146.1</v>
      </c>
    </row>
    <row r="19" spans="1:4" x14ac:dyDescent="0.2">
      <c r="B19" s="47" t="s">
        <v>447</v>
      </c>
      <c r="C19" s="39">
        <v>238.2</v>
      </c>
      <c r="D19" s="39">
        <v>299.3</v>
      </c>
    </row>
    <row r="20" spans="1:4" s="57" customFormat="1" x14ac:dyDescent="0.2">
      <c r="B20" s="57" t="s">
        <v>448</v>
      </c>
      <c r="C20" s="57">
        <f>C17+C18-C19</f>
        <v>66.699999999999761</v>
      </c>
      <c r="D20" s="57">
        <f t="shared" ref="D20" si="1">D17+D18-D19</f>
        <v>180.00000000000006</v>
      </c>
    </row>
    <row r="21" spans="1:4" x14ac:dyDescent="0.2">
      <c r="B21" s="47" t="s">
        <v>257</v>
      </c>
      <c r="C21" s="39">
        <v>19.3</v>
      </c>
      <c r="D21" s="39">
        <v>55.8</v>
      </c>
    </row>
    <row r="22" spans="1:4" s="57" customFormat="1" x14ac:dyDescent="0.2">
      <c r="B22" s="57" t="s">
        <v>449</v>
      </c>
      <c r="C22" s="57">
        <f>C20-C21</f>
        <v>47.399999999999764</v>
      </c>
      <c r="D22" s="57">
        <f t="shared" ref="D22" si="2">D20-D21</f>
        <v>124.20000000000006</v>
      </c>
    </row>
    <row r="25" spans="1:4" x14ac:dyDescent="0.2">
      <c r="B25" s="82" t="s">
        <v>450</v>
      </c>
    </row>
    <row r="28" spans="1:4" x14ac:dyDescent="0.2">
      <c r="B28" s="47" t="s">
        <v>388</v>
      </c>
      <c r="C28" s="39">
        <v>136.69999999999999</v>
      </c>
      <c r="D28" s="39">
        <v>162</v>
      </c>
    </row>
    <row r="29" spans="1:4" x14ac:dyDescent="0.2">
      <c r="B29" s="47" t="s">
        <v>451</v>
      </c>
      <c r="C29" s="39">
        <v>68.2</v>
      </c>
      <c r="D29" s="39">
        <v>51.4</v>
      </c>
    </row>
    <row r="31" spans="1:4" customFormat="1" ht="15" x14ac:dyDescent="0.25">
      <c r="A31" s="51" t="s">
        <v>143</v>
      </c>
    </row>
    <row r="32" spans="1:4" customFormat="1" x14ac:dyDescent="0.2"/>
    <row r="33" spans="2:4" customFormat="1" x14ac:dyDescent="0.2"/>
    <row r="34" spans="2:4" customFormat="1" x14ac:dyDescent="0.2">
      <c r="B34" t="s">
        <v>631</v>
      </c>
      <c r="C34">
        <f>C17+C28+C29</f>
        <v>366.49999999999972</v>
      </c>
      <c r="D34">
        <f>D17+D28+D29</f>
        <v>546.60000000000014</v>
      </c>
    </row>
    <row r="35" spans="2:4" customFormat="1" x14ac:dyDescent="0.2">
      <c r="B35" s="109"/>
    </row>
    <row r="36" spans="2:4" customFormat="1" x14ac:dyDescent="0.2">
      <c r="B36" s="109"/>
    </row>
    <row r="37" spans="2:4" customFormat="1" x14ac:dyDescent="0.2"/>
    <row r="38" spans="2:4" customFormat="1" x14ac:dyDescent="0.2"/>
    <row r="39" spans="2:4" customFormat="1" x14ac:dyDescent="0.2"/>
    <row r="40" spans="2:4" customFormat="1" x14ac:dyDescent="0.2"/>
    <row r="41" spans="2:4" customFormat="1" x14ac:dyDescent="0.2"/>
    <row r="42" spans="2:4" customFormat="1" x14ac:dyDescent="0.2"/>
    <row r="43" spans="2:4" customFormat="1" x14ac:dyDescent="0.2"/>
    <row r="44" spans="2:4" customFormat="1" x14ac:dyDescent="0.2"/>
    <row r="45" spans="2:4" customFormat="1" x14ac:dyDescent="0.2"/>
    <row r="46" spans="2:4" customFormat="1" x14ac:dyDescent="0.2"/>
    <row r="47" spans="2:4" customFormat="1" x14ac:dyDescent="0.2"/>
    <row r="48" spans="2: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sheetData>
  <pageMargins left="0.75" right="0.75" top="1" bottom="1" header="0.5" footer="0.5"/>
  <pageSetup orientation="portrait" r:id="rId1"/>
  <headerFooter alignWithMargins="0">
    <oddFooter>&amp;L&amp;8© AMT Training 2008 - 2016</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P48"/>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16" width="11.7109375" customWidth="1"/>
    <col min="20" max="20" width="10.28515625" customWidth="1"/>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#4</v>
      </c>
      <c r="B2" s="77"/>
      <c r="C2" s="77"/>
      <c r="D2" s="78"/>
      <c r="E2" s="78"/>
      <c r="F2" s="78"/>
      <c r="G2" s="78"/>
      <c r="H2" s="78"/>
      <c r="I2" s="78"/>
      <c r="J2" s="78"/>
      <c r="K2" s="78"/>
      <c r="L2" s="78"/>
      <c r="M2" s="78"/>
      <c r="N2" s="78"/>
      <c r="O2" s="78"/>
      <c r="P2" s="78"/>
    </row>
    <row r="3" spans="1:16" ht="13.5" thickTop="1" x14ac:dyDescent="0.2"/>
    <row r="4" spans="1:16" x14ac:dyDescent="0.2">
      <c r="B4" s="28" t="s">
        <v>609</v>
      </c>
    </row>
    <row r="6" spans="1:16" x14ac:dyDescent="0.2">
      <c r="D6" s="110" t="s">
        <v>452</v>
      </c>
      <c r="E6" s="110" t="s">
        <v>452</v>
      </c>
    </row>
    <row r="7" spans="1:16" x14ac:dyDescent="0.2">
      <c r="D7" s="110" t="s">
        <v>218</v>
      </c>
      <c r="E7" s="110" t="s">
        <v>219</v>
      </c>
    </row>
    <row r="8" spans="1:16" x14ac:dyDescent="0.2">
      <c r="B8" s="111" t="s">
        <v>453</v>
      </c>
      <c r="C8" s="112"/>
      <c r="D8" s="112"/>
      <c r="E8" s="112"/>
    </row>
    <row r="9" spans="1:16" x14ac:dyDescent="0.2">
      <c r="B9" s="48" t="s">
        <v>8</v>
      </c>
      <c r="C9" s="48"/>
      <c r="D9" s="48">
        <v>37304</v>
      </c>
      <c r="E9" s="48">
        <v>30409</v>
      </c>
    </row>
    <row r="10" spans="1:16" x14ac:dyDescent="0.2">
      <c r="B10" s="60" t="s">
        <v>454</v>
      </c>
      <c r="C10" s="60"/>
      <c r="D10" s="60">
        <v>73131</v>
      </c>
      <c r="E10" s="60">
        <v>75161</v>
      </c>
    </row>
    <row r="11" spans="1:16" x14ac:dyDescent="0.2">
      <c r="B11" s="48" t="s">
        <v>108</v>
      </c>
      <c r="C11" s="48"/>
      <c r="D11" s="48">
        <v>152451</v>
      </c>
      <c r="E11" s="48">
        <v>154623</v>
      </c>
    </row>
    <row r="12" spans="1:16" x14ac:dyDescent="0.2">
      <c r="B12" s="59" t="s">
        <v>455</v>
      </c>
      <c r="C12" s="59"/>
      <c r="D12" s="59">
        <v>11272</v>
      </c>
      <c r="E12" s="59">
        <v>12711</v>
      </c>
    </row>
    <row r="13" spans="1:16" x14ac:dyDescent="0.2">
      <c r="B13" s="66" t="s">
        <v>434</v>
      </c>
      <c r="C13" s="66"/>
      <c r="D13" s="66">
        <v>11571</v>
      </c>
      <c r="E13" s="66">
        <v>9774</v>
      </c>
    </row>
    <row r="14" spans="1:16" x14ac:dyDescent="0.2">
      <c r="B14" s="65" t="s">
        <v>69</v>
      </c>
      <c r="C14" s="65"/>
      <c r="D14" s="65">
        <f>SUM(D9:D13)</f>
        <v>285729</v>
      </c>
      <c r="E14" s="65">
        <f>SUM(E9:E13)</f>
        <v>282678</v>
      </c>
    </row>
    <row r="15" spans="1:16" x14ac:dyDescent="0.2">
      <c r="B15" s="113"/>
      <c r="C15" s="57"/>
      <c r="D15" s="57"/>
      <c r="E15" s="57"/>
    </row>
    <row r="16" spans="1:16" x14ac:dyDescent="0.2">
      <c r="B16" s="59" t="s">
        <v>456</v>
      </c>
      <c r="C16" s="59"/>
      <c r="D16" s="59">
        <v>94150</v>
      </c>
      <c r="E16" s="59">
        <v>95598</v>
      </c>
    </row>
    <row r="17" spans="2:5" x14ac:dyDescent="0.2">
      <c r="B17" s="47" t="s">
        <v>457</v>
      </c>
      <c r="C17" s="114"/>
      <c r="D17" s="47">
        <v>14119</v>
      </c>
      <c r="E17" s="47">
        <v>13671</v>
      </c>
    </row>
    <row r="18" spans="2:5" x14ac:dyDescent="0.2">
      <c r="B18" s="59" t="s">
        <v>288</v>
      </c>
      <c r="C18" s="59"/>
      <c r="D18" s="59">
        <v>32907</v>
      </c>
      <c r="E18" s="59">
        <v>31481</v>
      </c>
    </row>
    <row r="19" spans="2:5" x14ac:dyDescent="0.2">
      <c r="B19" s="48" t="s">
        <v>458</v>
      </c>
      <c r="C19" s="48"/>
      <c r="D19" s="48">
        <v>3937</v>
      </c>
      <c r="E19" s="48">
        <v>4725</v>
      </c>
    </row>
    <row r="20" spans="2:5" x14ac:dyDescent="0.2">
      <c r="B20" s="59" t="s">
        <v>459</v>
      </c>
      <c r="C20" s="59"/>
      <c r="D20" s="59">
        <v>18014</v>
      </c>
      <c r="E20" s="59">
        <v>12988</v>
      </c>
    </row>
    <row r="21" spans="2:5" x14ac:dyDescent="0.2">
      <c r="B21" s="115" t="s">
        <v>460</v>
      </c>
      <c r="C21" s="115"/>
      <c r="D21" s="115">
        <v>8822</v>
      </c>
      <c r="E21" s="115">
        <v>6034</v>
      </c>
    </row>
    <row r="22" spans="2:5" x14ac:dyDescent="0.2">
      <c r="B22" s="65" t="s">
        <v>69</v>
      </c>
      <c r="C22" s="65"/>
      <c r="D22" s="65">
        <f>SUM(D16:D21)</f>
        <v>171949</v>
      </c>
      <c r="E22" s="65">
        <f>SUM(E16:E21)</f>
        <v>164497</v>
      </c>
    </row>
    <row r="23" spans="2:5" x14ac:dyDescent="0.2">
      <c r="B23" s="57" t="s">
        <v>37</v>
      </c>
      <c r="C23" s="57"/>
      <c r="D23" s="57">
        <f>SUM(D22,D14)</f>
        <v>457678</v>
      </c>
      <c r="E23" s="57">
        <f>SUM(E22,E14)</f>
        <v>447175</v>
      </c>
    </row>
    <row r="24" spans="2:5" x14ac:dyDescent="0.2">
      <c r="B24" s="59"/>
      <c r="C24" s="59"/>
      <c r="D24" s="59"/>
      <c r="E24" s="59"/>
    </row>
    <row r="25" spans="2:5" x14ac:dyDescent="0.2">
      <c r="B25" s="113" t="s">
        <v>461</v>
      </c>
      <c r="C25" s="48"/>
      <c r="D25" s="48"/>
      <c r="E25" s="48"/>
    </row>
    <row r="26" spans="2:5" x14ac:dyDescent="0.2">
      <c r="B26" s="111" t="s">
        <v>462</v>
      </c>
      <c r="C26" s="59"/>
      <c r="D26" s="59"/>
      <c r="E26" s="59"/>
    </row>
    <row r="27" spans="2:5" x14ac:dyDescent="0.2">
      <c r="B27" s="48" t="s">
        <v>14</v>
      </c>
      <c r="C27" s="48"/>
      <c r="D27" s="48">
        <v>2285</v>
      </c>
      <c r="E27" s="48">
        <v>4595</v>
      </c>
    </row>
    <row r="28" spans="2:5" x14ac:dyDescent="0.2">
      <c r="B28" s="59" t="s">
        <v>58</v>
      </c>
      <c r="C28" s="59"/>
      <c r="D28" s="59">
        <v>12381</v>
      </c>
      <c r="E28" s="59">
        <v>16805</v>
      </c>
    </row>
    <row r="29" spans="2:5" x14ac:dyDescent="0.2">
      <c r="B29" s="66" t="s">
        <v>62</v>
      </c>
      <c r="C29" s="66"/>
      <c r="D29" s="66">
        <v>52320</v>
      </c>
      <c r="E29" s="66">
        <v>44648</v>
      </c>
    </row>
    <row r="30" spans="2:5" x14ac:dyDescent="0.2">
      <c r="B30" s="65" t="s">
        <v>71</v>
      </c>
      <c r="C30" s="59"/>
      <c r="D30" s="65">
        <f>SUM(D27:D29)</f>
        <v>66986</v>
      </c>
      <c r="E30" s="65">
        <f>SUM(E27:E29)</f>
        <v>66048</v>
      </c>
    </row>
    <row r="31" spans="2:5" x14ac:dyDescent="0.2">
      <c r="B31" s="113"/>
      <c r="C31" s="48"/>
      <c r="D31" s="48"/>
      <c r="E31" s="48"/>
    </row>
    <row r="32" spans="2:5" x14ac:dyDescent="0.2">
      <c r="B32" s="60" t="s">
        <v>72</v>
      </c>
      <c r="C32" s="65"/>
      <c r="D32" s="60">
        <v>173981</v>
      </c>
      <c r="E32" s="60">
        <v>173816</v>
      </c>
    </row>
    <row r="33" spans="1:5" x14ac:dyDescent="0.2">
      <c r="B33" s="48" t="s">
        <v>426</v>
      </c>
      <c r="C33" s="48"/>
      <c r="D33" s="48">
        <v>15003</v>
      </c>
      <c r="E33" s="48">
        <v>11754</v>
      </c>
    </row>
    <row r="34" spans="1:5" x14ac:dyDescent="0.2">
      <c r="B34" s="60" t="s">
        <v>463</v>
      </c>
      <c r="C34" s="65"/>
      <c r="D34" s="60">
        <v>30093</v>
      </c>
      <c r="E34" s="60">
        <v>32847</v>
      </c>
    </row>
    <row r="35" spans="1:5" x14ac:dyDescent="0.2">
      <c r="B35" s="115" t="s">
        <v>464</v>
      </c>
      <c r="C35" s="115"/>
      <c r="D35" s="115">
        <v>7836</v>
      </c>
      <c r="E35" s="115">
        <v>4709</v>
      </c>
    </row>
    <row r="36" spans="1:5" x14ac:dyDescent="0.2">
      <c r="B36" s="65" t="s">
        <v>427</v>
      </c>
      <c r="C36" s="65"/>
      <c r="D36" s="65">
        <f>SUM(D32:D35)</f>
        <v>226913</v>
      </c>
      <c r="E36" s="65">
        <f>SUM(E32:E35)</f>
        <v>223126</v>
      </c>
    </row>
    <row r="37" spans="1:5" x14ac:dyDescent="0.2">
      <c r="B37" s="57" t="s">
        <v>74</v>
      </c>
      <c r="C37" s="57"/>
      <c r="D37" s="57">
        <f>SUM(D36,D30)</f>
        <v>293899</v>
      </c>
      <c r="E37" s="57">
        <f>SUM(E36,E30)</f>
        <v>289174</v>
      </c>
    </row>
    <row r="38" spans="1:5" x14ac:dyDescent="0.2">
      <c r="B38" s="60"/>
      <c r="C38" s="65"/>
      <c r="D38" s="60"/>
      <c r="E38" s="60"/>
    </row>
    <row r="39" spans="1:5" x14ac:dyDescent="0.2">
      <c r="B39" s="113" t="s">
        <v>110</v>
      </c>
      <c r="C39" s="57"/>
      <c r="D39" s="57"/>
      <c r="E39" s="57"/>
    </row>
    <row r="40" spans="1:5" x14ac:dyDescent="0.2">
      <c r="B40" s="60" t="s">
        <v>9</v>
      </c>
      <c r="C40" s="65"/>
      <c r="D40" s="60">
        <v>11</v>
      </c>
      <c r="E40" s="60">
        <v>10</v>
      </c>
    </row>
    <row r="41" spans="1:5" x14ac:dyDescent="0.2">
      <c r="B41" s="48" t="s">
        <v>465</v>
      </c>
      <c r="C41" s="48"/>
      <c r="D41" s="48">
        <v>94370</v>
      </c>
      <c r="E41" s="48">
        <v>90266</v>
      </c>
    </row>
    <row r="42" spans="1:5" x14ac:dyDescent="0.2">
      <c r="B42" s="60" t="s">
        <v>10</v>
      </c>
      <c r="C42" s="65"/>
      <c r="D42" s="60">
        <v>112917</v>
      </c>
      <c r="E42" s="60">
        <v>125711</v>
      </c>
    </row>
    <row r="43" spans="1:5" x14ac:dyDescent="0.2">
      <c r="B43" s="48" t="s">
        <v>466</v>
      </c>
      <c r="C43" s="48"/>
      <c r="D43" s="48">
        <v>1773</v>
      </c>
      <c r="E43" s="48">
        <v>-10550</v>
      </c>
    </row>
    <row r="44" spans="1:5" x14ac:dyDescent="0.2">
      <c r="B44" s="64" t="s">
        <v>298</v>
      </c>
      <c r="C44" s="116"/>
      <c r="D44" s="64">
        <v>-45292</v>
      </c>
      <c r="E44" s="64">
        <v>-47436</v>
      </c>
    </row>
    <row r="45" spans="1:5" x14ac:dyDescent="0.2">
      <c r="B45" s="117" t="s">
        <v>299</v>
      </c>
      <c r="C45" s="117"/>
      <c r="D45" s="117">
        <f>SUM(D40:D44)</f>
        <v>163779</v>
      </c>
      <c r="E45" s="117">
        <f>SUM(E40:E44)</f>
        <v>158001</v>
      </c>
    </row>
    <row r="46" spans="1:5" x14ac:dyDescent="0.2">
      <c r="B46" s="65" t="s">
        <v>467</v>
      </c>
      <c r="C46" s="65"/>
      <c r="D46" s="65">
        <f>SUM(D45,D37)</f>
        <v>457678</v>
      </c>
      <c r="E46" s="65">
        <f>SUM(E45,E37)</f>
        <v>447175</v>
      </c>
    </row>
    <row r="48" spans="1:5" ht="15" x14ac:dyDescent="0.25">
      <c r="A48" s="51" t="s">
        <v>143</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P54"/>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5" width="11.7109375" customWidth="1"/>
    <col min="6" max="7" width="14.85546875" customWidth="1"/>
    <col min="8" max="16" width="11.7109375" customWidth="1"/>
    <col min="20" max="20" width="10.28515625" customWidth="1"/>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#5</v>
      </c>
      <c r="B2" s="77"/>
      <c r="C2" s="77"/>
      <c r="D2" s="78"/>
      <c r="E2" s="78"/>
      <c r="F2" s="78"/>
      <c r="G2" s="78"/>
      <c r="H2" s="78"/>
      <c r="I2" s="78"/>
      <c r="J2" s="78"/>
      <c r="K2" s="78"/>
      <c r="L2" s="78"/>
      <c r="M2" s="78"/>
      <c r="N2" s="78"/>
      <c r="O2" s="78"/>
      <c r="P2" s="78"/>
    </row>
    <row r="3" spans="1:16" ht="13.5" thickTop="1" x14ac:dyDescent="0.2"/>
    <row r="4" spans="1:16" x14ac:dyDescent="0.2">
      <c r="B4" s="28" t="s">
        <v>610</v>
      </c>
    </row>
    <row r="6" spans="1:16" x14ac:dyDescent="0.2">
      <c r="D6" s="110" t="s">
        <v>468</v>
      </c>
      <c r="E6" s="110" t="s">
        <v>468</v>
      </c>
      <c r="F6" s="110"/>
      <c r="G6" s="110"/>
    </row>
    <row r="7" spans="1:16" x14ac:dyDescent="0.2">
      <c r="D7" s="110" t="s">
        <v>218</v>
      </c>
      <c r="E7" s="110" t="s">
        <v>219</v>
      </c>
      <c r="F7" s="110"/>
      <c r="G7" s="110"/>
    </row>
    <row r="8" spans="1:16" x14ac:dyDescent="0.2">
      <c r="B8" s="111" t="s">
        <v>453</v>
      </c>
      <c r="C8" s="112"/>
      <c r="D8" s="112"/>
      <c r="E8" s="112"/>
    </row>
    <row r="9" spans="1:16" x14ac:dyDescent="0.2">
      <c r="B9" s="48" t="s">
        <v>469</v>
      </c>
      <c r="C9" s="48"/>
      <c r="D9" s="48">
        <v>5569</v>
      </c>
      <c r="E9" s="48">
        <v>7767</v>
      </c>
    </row>
    <row r="10" spans="1:16" x14ac:dyDescent="0.2">
      <c r="B10" s="60" t="s">
        <v>286</v>
      </c>
      <c r="C10" s="60"/>
      <c r="D10" s="60">
        <v>3654</v>
      </c>
      <c r="E10" s="60">
        <v>2840</v>
      </c>
    </row>
    <row r="11" spans="1:16" x14ac:dyDescent="0.2">
      <c r="B11" s="48" t="s">
        <v>108</v>
      </c>
      <c r="C11" s="48"/>
      <c r="D11" s="48">
        <v>35180</v>
      </c>
      <c r="E11" s="48">
        <v>33685</v>
      </c>
    </row>
    <row r="12" spans="1:16" x14ac:dyDescent="0.2">
      <c r="B12" s="118" t="s">
        <v>470</v>
      </c>
      <c r="C12" s="118"/>
      <c r="D12" s="118">
        <v>3182</v>
      </c>
      <c r="E12" s="118">
        <v>2690</v>
      </c>
    </row>
    <row r="13" spans="1:16" x14ac:dyDescent="0.2">
      <c r="B13" s="57" t="s">
        <v>69</v>
      </c>
      <c r="C13" s="57"/>
      <c r="D13" s="57">
        <f>SUM(D9:D12)</f>
        <v>47585</v>
      </c>
      <c r="E13" s="57">
        <f>SUM(E9:E12)</f>
        <v>46982</v>
      </c>
    </row>
    <row r="14" spans="1:16" x14ac:dyDescent="0.2">
      <c r="B14" s="59"/>
      <c r="C14" s="59"/>
      <c r="D14" s="59"/>
      <c r="E14" s="59"/>
    </row>
    <row r="15" spans="1:16" x14ac:dyDescent="0.2">
      <c r="B15" s="113" t="s">
        <v>471</v>
      </c>
      <c r="C15" s="57"/>
      <c r="D15" s="57"/>
      <c r="E15" s="57"/>
    </row>
    <row r="16" spans="1:16" x14ac:dyDescent="0.2">
      <c r="B16" s="59" t="s">
        <v>472</v>
      </c>
      <c r="C16" s="59"/>
      <c r="D16" s="59">
        <v>19879</v>
      </c>
      <c r="E16" s="59">
        <v>18612</v>
      </c>
    </row>
    <row r="17" spans="2:5" x14ac:dyDescent="0.2">
      <c r="B17" s="47" t="s">
        <v>473</v>
      </c>
      <c r="C17" s="114"/>
      <c r="D17" s="47">
        <v>72533</v>
      </c>
      <c r="E17" s="47">
        <v>64052</v>
      </c>
    </row>
    <row r="18" spans="2:5" x14ac:dyDescent="0.2">
      <c r="B18" s="59" t="s">
        <v>474</v>
      </c>
      <c r="C18" s="59"/>
      <c r="D18" s="59">
        <v>28026</v>
      </c>
      <c r="E18" s="59">
        <v>25168</v>
      </c>
    </row>
    <row r="19" spans="2:5" x14ac:dyDescent="0.2">
      <c r="B19" s="115" t="s">
        <v>475</v>
      </c>
      <c r="C19" s="115"/>
      <c r="D19" s="115">
        <v>2210</v>
      </c>
      <c r="E19" s="115">
        <v>1966</v>
      </c>
    </row>
    <row r="20" spans="2:5" x14ac:dyDescent="0.2">
      <c r="B20" s="59" t="s">
        <v>471</v>
      </c>
      <c r="C20" s="59"/>
      <c r="D20" s="59">
        <f>SUM(D16:D19)</f>
        <v>122648</v>
      </c>
      <c r="E20" s="59">
        <f>SUM(E16:E19)</f>
        <v>109798</v>
      </c>
    </row>
    <row r="21" spans="2:5" x14ac:dyDescent="0.2">
      <c r="B21" s="115" t="s">
        <v>360</v>
      </c>
      <c r="C21" s="115"/>
      <c r="D21" s="115">
        <v>-28773</v>
      </c>
      <c r="E21" s="115">
        <v>-24408</v>
      </c>
    </row>
    <row r="22" spans="2:5" x14ac:dyDescent="0.2">
      <c r="B22" s="59" t="s">
        <v>476</v>
      </c>
      <c r="C22" s="59"/>
      <c r="D22" s="59">
        <f>SUM(D20:D21)</f>
        <v>93875</v>
      </c>
      <c r="E22" s="59">
        <f>SUM(E20:E21)</f>
        <v>85390</v>
      </c>
    </row>
    <row r="23" spans="2:5" x14ac:dyDescent="0.2">
      <c r="B23" s="113" t="s">
        <v>477</v>
      </c>
      <c r="C23" s="57"/>
      <c r="D23" s="57"/>
      <c r="E23" s="57"/>
    </row>
    <row r="24" spans="2:5" x14ac:dyDescent="0.2">
      <c r="B24" s="59" t="s">
        <v>478</v>
      </c>
      <c r="C24" s="59"/>
      <c r="D24" s="59">
        <v>5736</v>
      </c>
      <c r="E24" s="59">
        <v>5392</v>
      </c>
    </row>
    <row r="25" spans="2:5" x14ac:dyDescent="0.2">
      <c r="B25" s="66" t="s">
        <v>479</v>
      </c>
      <c r="C25" s="115"/>
      <c r="D25" s="115">
        <v>-2594</v>
      </c>
      <c r="E25" s="115">
        <v>-2342</v>
      </c>
    </row>
    <row r="26" spans="2:5" x14ac:dyDescent="0.2">
      <c r="B26" s="59" t="s">
        <v>480</v>
      </c>
      <c r="C26" s="59"/>
      <c r="D26" s="59">
        <f>SUM(D24:D25)</f>
        <v>3142</v>
      </c>
      <c r="E26" s="59">
        <f>SUM(E24:E25)</f>
        <v>3050</v>
      </c>
    </row>
    <row r="27" spans="2:5" x14ac:dyDescent="0.2">
      <c r="B27" s="48" t="s">
        <v>288</v>
      </c>
      <c r="C27" s="48"/>
      <c r="D27" s="48">
        <v>16071</v>
      </c>
      <c r="E27" s="48">
        <v>13759</v>
      </c>
    </row>
    <row r="28" spans="2:5" x14ac:dyDescent="0.2">
      <c r="B28" s="118" t="s">
        <v>481</v>
      </c>
      <c r="C28" s="118"/>
      <c r="D28" s="118">
        <v>2841</v>
      </c>
      <c r="E28" s="118">
        <v>2406</v>
      </c>
    </row>
    <row r="29" spans="2:5" x14ac:dyDescent="0.2">
      <c r="B29" s="57" t="s">
        <v>37</v>
      </c>
      <c r="C29" s="48"/>
      <c r="D29" s="57">
        <f>SUM(D26:D28,D22,D13)</f>
        <v>163514</v>
      </c>
      <c r="E29" s="57">
        <f>SUM(E26:E28,E22,E13)</f>
        <v>151587</v>
      </c>
    </row>
    <row r="30" spans="2:5" x14ac:dyDescent="0.2">
      <c r="B30" s="59"/>
      <c r="C30" s="59"/>
      <c r="D30" s="59"/>
      <c r="E30" s="59"/>
    </row>
    <row r="31" spans="2:5" x14ac:dyDescent="0.2">
      <c r="B31" s="113" t="s">
        <v>482</v>
      </c>
      <c r="C31" s="48"/>
      <c r="D31" s="48"/>
      <c r="E31" s="48"/>
    </row>
    <row r="32" spans="2:5" x14ac:dyDescent="0.2">
      <c r="B32" s="111" t="s">
        <v>420</v>
      </c>
      <c r="C32" s="65"/>
      <c r="D32" s="65"/>
      <c r="E32" s="65"/>
    </row>
    <row r="33" spans="2:5" x14ac:dyDescent="0.2">
      <c r="B33" s="48" t="s">
        <v>483</v>
      </c>
      <c r="C33" s="48"/>
      <c r="D33" s="48">
        <v>5040</v>
      </c>
      <c r="E33" s="48">
        <v>2570</v>
      </c>
    </row>
    <row r="34" spans="2:5" x14ac:dyDescent="0.2">
      <c r="B34" s="60" t="s">
        <v>58</v>
      </c>
      <c r="C34" s="65"/>
      <c r="D34" s="60">
        <v>30370</v>
      </c>
      <c r="E34" s="60">
        <v>28484</v>
      </c>
    </row>
    <row r="35" spans="2:5" x14ac:dyDescent="0.2">
      <c r="B35" s="48" t="s">
        <v>332</v>
      </c>
      <c r="C35" s="48"/>
      <c r="D35" s="48">
        <v>15799</v>
      </c>
      <c r="E35" s="48">
        <v>14675</v>
      </c>
    </row>
    <row r="36" spans="2:5" x14ac:dyDescent="0.2">
      <c r="B36" s="60" t="s">
        <v>484</v>
      </c>
      <c r="C36" s="65"/>
      <c r="D36" s="60">
        <v>1016</v>
      </c>
      <c r="E36" s="60">
        <v>706</v>
      </c>
    </row>
    <row r="37" spans="2:5" x14ac:dyDescent="0.2">
      <c r="B37" s="48" t="s">
        <v>485</v>
      </c>
      <c r="C37" s="48"/>
      <c r="D37" s="48">
        <v>5913</v>
      </c>
      <c r="E37" s="48">
        <v>5428</v>
      </c>
    </row>
    <row r="38" spans="2:5" x14ac:dyDescent="0.2">
      <c r="B38" s="64" t="s">
        <v>486</v>
      </c>
      <c r="C38" s="116"/>
      <c r="D38" s="64">
        <v>316</v>
      </c>
      <c r="E38" s="64">
        <v>285</v>
      </c>
    </row>
    <row r="39" spans="2:5" x14ac:dyDescent="0.2">
      <c r="B39" s="57" t="s">
        <v>71</v>
      </c>
      <c r="C39" s="57"/>
      <c r="D39" s="57">
        <f>SUM(D33:D38)</f>
        <v>58454</v>
      </c>
      <c r="E39" s="57">
        <f>SUM(E33:E38)</f>
        <v>52148</v>
      </c>
    </row>
    <row r="40" spans="2:5" x14ac:dyDescent="0.2">
      <c r="B40" s="65"/>
      <c r="C40" s="65"/>
      <c r="D40" s="65"/>
      <c r="E40" s="65"/>
    </row>
    <row r="41" spans="2:5" x14ac:dyDescent="0.2">
      <c r="B41" s="48" t="s">
        <v>109</v>
      </c>
      <c r="C41" s="48"/>
      <c r="D41" s="48">
        <v>29799</v>
      </c>
      <c r="E41" s="48">
        <v>27222</v>
      </c>
    </row>
    <row r="42" spans="2:5" x14ac:dyDescent="0.2">
      <c r="B42" s="60" t="s">
        <v>487</v>
      </c>
      <c r="C42" s="65"/>
      <c r="D42" s="60">
        <v>3603</v>
      </c>
      <c r="E42" s="60">
        <v>3513</v>
      </c>
    </row>
    <row r="43" spans="2:5" x14ac:dyDescent="0.2">
      <c r="B43" s="48" t="s">
        <v>488</v>
      </c>
      <c r="C43" s="48"/>
      <c r="D43" s="48">
        <v>5111</v>
      </c>
      <c r="E43" s="48">
        <v>4971</v>
      </c>
    </row>
    <row r="44" spans="2:5" x14ac:dyDescent="0.2">
      <c r="B44" s="60" t="s">
        <v>489</v>
      </c>
      <c r="C44" s="65"/>
      <c r="D44" s="60">
        <v>1939</v>
      </c>
      <c r="E44" s="60">
        <v>2160</v>
      </c>
    </row>
    <row r="45" spans="2:5" x14ac:dyDescent="0.2">
      <c r="B45" s="48"/>
      <c r="C45" s="48"/>
      <c r="D45" s="48"/>
      <c r="E45" s="48"/>
    </row>
    <row r="46" spans="2:5" x14ac:dyDescent="0.2">
      <c r="B46" s="111" t="s">
        <v>110</v>
      </c>
      <c r="C46" s="65"/>
      <c r="D46" s="65"/>
      <c r="E46" s="65"/>
    </row>
    <row r="47" spans="2:5" x14ac:dyDescent="0.2">
      <c r="B47" s="48" t="s">
        <v>9</v>
      </c>
      <c r="C47" s="48"/>
      <c r="D47" s="48">
        <v>397</v>
      </c>
      <c r="E47" s="48">
        <v>413</v>
      </c>
    </row>
    <row r="48" spans="2:5" x14ac:dyDescent="0.2">
      <c r="B48" s="60" t="s">
        <v>465</v>
      </c>
      <c r="C48" s="65"/>
      <c r="D48" s="60">
        <v>3028</v>
      </c>
      <c r="E48" s="60">
        <v>2834</v>
      </c>
    </row>
    <row r="49" spans="1:5" x14ac:dyDescent="0.2">
      <c r="B49" s="48" t="s">
        <v>10</v>
      </c>
      <c r="C49" s="48"/>
      <c r="D49" s="48">
        <v>57319</v>
      </c>
      <c r="E49" s="48">
        <v>55818</v>
      </c>
    </row>
    <row r="50" spans="1:5" x14ac:dyDescent="0.2">
      <c r="B50" s="64" t="s">
        <v>466</v>
      </c>
      <c r="C50" s="116"/>
      <c r="D50" s="64">
        <v>3864</v>
      </c>
      <c r="E50" s="64">
        <v>2508</v>
      </c>
    </row>
    <row r="51" spans="1:5" x14ac:dyDescent="0.2">
      <c r="B51" s="57" t="s">
        <v>299</v>
      </c>
      <c r="C51" s="57"/>
      <c r="D51" s="57">
        <f>SUM(D47:D50)</f>
        <v>64608</v>
      </c>
      <c r="E51" s="57">
        <f>SUM(E47:E50)</f>
        <v>61573</v>
      </c>
    </row>
    <row r="52" spans="1:5" x14ac:dyDescent="0.2">
      <c r="B52" s="65" t="s">
        <v>467</v>
      </c>
      <c r="C52" s="65"/>
      <c r="D52" s="65">
        <f>SUM(D51,D41:D44,D39)</f>
        <v>163514</v>
      </c>
      <c r="E52" s="65">
        <f>SUM(E51,E41:E44,E39)</f>
        <v>151587</v>
      </c>
    </row>
    <row r="54" spans="1:5" ht="15" x14ac:dyDescent="0.25">
      <c r="A54" s="51" t="s">
        <v>143</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P46"/>
  <sheetViews>
    <sheetView showGridLines="0" zoomScaleNormal="100" zoomScalePageLayoutView="75" workbookViewId="0">
      <pane ySplit="2" topLeftCell="A3" activePane="bottomLeft" state="frozen"/>
      <selection pane="bottomLeft"/>
    </sheetView>
  </sheetViews>
  <sheetFormatPr defaultColWidth="9.140625" defaultRowHeight="12.75" x14ac:dyDescent="0.2"/>
  <cols>
    <col min="1" max="1" width="1.7109375" customWidth="1"/>
    <col min="2" max="2" width="36.5703125" customWidth="1"/>
    <col min="3" max="16" width="11.7109375" customWidth="1"/>
    <col min="20" max="20" width="10.28515625" customWidth="1"/>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#6</v>
      </c>
      <c r="B2" s="77"/>
      <c r="C2" s="77"/>
      <c r="D2" s="78"/>
      <c r="E2" s="78"/>
      <c r="F2" s="78"/>
      <c r="G2" s="78"/>
      <c r="H2" s="78"/>
      <c r="I2" s="78"/>
      <c r="J2" s="78"/>
      <c r="K2" s="78"/>
      <c r="L2" s="78"/>
      <c r="M2" s="78"/>
      <c r="N2" s="78"/>
      <c r="O2" s="78"/>
      <c r="P2" s="78"/>
    </row>
    <row r="3" spans="1:16" ht="13.5" thickTop="1" x14ac:dyDescent="0.2"/>
    <row r="4" spans="1:16" x14ac:dyDescent="0.2">
      <c r="B4" s="28" t="s">
        <v>611</v>
      </c>
    </row>
    <row r="5" spans="1:16" x14ac:dyDescent="0.2">
      <c r="B5" s="28" t="s">
        <v>490</v>
      </c>
    </row>
    <row r="6" spans="1:16" x14ac:dyDescent="0.2">
      <c r="B6" s="28" t="s">
        <v>491</v>
      </c>
    </row>
    <row r="7" spans="1:16" x14ac:dyDescent="0.2">
      <c r="B7" s="28" t="s">
        <v>492</v>
      </c>
    </row>
    <row r="8" spans="1:16" x14ac:dyDescent="0.2">
      <c r="D8" s="110" t="s">
        <v>493</v>
      </c>
      <c r="E8" s="110" t="s">
        <v>493</v>
      </c>
    </row>
    <row r="9" spans="1:16" x14ac:dyDescent="0.2">
      <c r="D9" s="110" t="s">
        <v>218</v>
      </c>
      <c r="E9" s="110" t="s">
        <v>219</v>
      </c>
    </row>
    <row r="10" spans="1:16" x14ac:dyDescent="0.2">
      <c r="B10" s="111" t="s">
        <v>429</v>
      </c>
      <c r="C10" s="112"/>
      <c r="D10" s="112"/>
      <c r="E10" s="112"/>
    </row>
    <row r="11" spans="1:16" x14ac:dyDescent="0.2">
      <c r="B11" s="48" t="s">
        <v>108</v>
      </c>
      <c r="C11" s="48"/>
      <c r="D11" s="48">
        <v>319.10000000000002</v>
      </c>
      <c r="E11" s="48">
        <v>281.8</v>
      </c>
    </row>
    <row r="12" spans="1:16" x14ac:dyDescent="0.2">
      <c r="B12" s="60" t="s">
        <v>494</v>
      </c>
      <c r="C12" s="60"/>
      <c r="D12" s="60">
        <v>591.5</v>
      </c>
      <c r="E12" s="60">
        <v>577.70000000000005</v>
      </c>
    </row>
    <row r="13" spans="1:16" x14ac:dyDescent="0.2">
      <c r="B13" s="48" t="s">
        <v>495</v>
      </c>
      <c r="C13" s="48"/>
      <c r="D13" s="48">
        <v>12.6</v>
      </c>
      <c r="E13" s="48">
        <v>1.2</v>
      </c>
    </row>
    <row r="14" spans="1:16" x14ac:dyDescent="0.2">
      <c r="B14" s="118" t="s">
        <v>496</v>
      </c>
      <c r="C14" s="118"/>
      <c r="D14" s="118">
        <v>56</v>
      </c>
      <c r="E14" s="118">
        <v>121.7</v>
      </c>
    </row>
    <row r="15" spans="1:16" x14ac:dyDescent="0.2">
      <c r="B15" s="57" t="s">
        <v>69</v>
      </c>
      <c r="C15" s="57"/>
      <c r="D15" s="57">
        <f>SUM(D11:D14)</f>
        <v>979.2</v>
      </c>
      <c r="E15" s="57">
        <f>SUM(E11:E14)</f>
        <v>982.40000000000009</v>
      </c>
    </row>
    <row r="16" spans="1:16" x14ac:dyDescent="0.2">
      <c r="B16" s="59"/>
      <c r="C16" s="59"/>
      <c r="D16" s="59"/>
      <c r="E16" s="59"/>
    </row>
    <row r="17" spans="2:5" x14ac:dyDescent="0.2">
      <c r="B17" s="57" t="s">
        <v>37</v>
      </c>
      <c r="C17" s="57"/>
      <c r="D17" s="57">
        <v>1630.4</v>
      </c>
      <c r="E17" s="57">
        <v>1571</v>
      </c>
    </row>
    <row r="18" spans="2:5" x14ac:dyDescent="0.2">
      <c r="B18" s="59"/>
      <c r="C18" s="59"/>
      <c r="D18" s="59"/>
      <c r="E18" s="59"/>
    </row>
    <row r="19" spans="2:5" x14ac:dyDescent="0.2">
      <c r="B19" s="113" t="s">
        <v>420</v>
      </c>
      <c r="C19" s="114"/>
      <c r="D19" s="114"/>
      <c r="E19" s="114"/>
    </row>
    <row r="20" spans="2:5" x14ac:dyDescent="0.2">
      <c r="B20" s="59" t="s">
        <v>497</v>
      </c>
      <c r="C20" s="59"/>
      <c r="D20" s="59">
        <v>-37.700000000000003</v>
      </c>
      <c r="E20" s="59">
        <v>-12.5</v>
      </c>
    </row>
    <row r="21" spans="2:5" x14ac:dyDescent="0.2">
      <c r="B21" s="48" t="s">
        <v>498</v>
      </c>
      <c r="C21" s="48"/>
      <c r="D21" s="48">
        <v>-205</v>
      </c>
      <c r="E21" s="48">
        <v>-0.1</v>
      </c>
    </row>
    <row r="22" spans="2:5" x14ac:dyDescent="0.2">
      <c r="B22" s="59" t="s">
        <v>499</v>
      </c>
      <c r="C22" s="59"/>
      <c r="D22" s="59">
        <v>-652.4</v>
      </c>
      <c r="E22" s="59">
        <v>-621.1</v>
      </c>
    </row>
    <row r="23" spans="2:5" x14ac:dyDescent="0.2">
      <c r="B23" s="48" t="s">
        <v>500</v>
      </c>
      <c r="C23" s="48"/>
      <c r="D23" s="48">
        <v>-55</v>
      </c>
      <c r="E23" s="48">
        <v>-23.6</v>
      </c>
    </row>
    <row r="24" spans="2:5" x14ac:dyDescent="0.2">
      <c r="B24" s="118" t="s">
        <v>501</v>
      </c>
      <c r="C24" s="118"/>
      <c r="D24" s="118">
        <v>-92.4</v>
      </c>
      <c r="E24" s="118">
        <v>-81.2</v>
      </c>
    </row>
    <row r="25" spans="2:5" x14ac:dyDescent="0.2">
      <c r="B25" s="57" t="s">
        <v>71</v>
      </c>
      <c r="C25" s="57"/>
      <c r="D25" s="57">
        <f>SUM(D20:D24)</f>
        <v>-1042.5</v>
      </c>
      <c r="E25" s="57">
        <f>SUM(E20:E24)</f>
        <v>-738.50000000000011</v>
      </c>
    </row>
    <row r="26" spans="2:5" x14ac:dyDescent="0.2">
      <c r="B26" s="59"/>
      <c r="C26" s="59"/>
      <c r="D26" s="59"/>
      <c r="E26" s="59"/>
    </row>
    <row r="27" spans="2:5" x14ac:dyDescent="0.2">
      <c r="B27" s="113" t="s">
        <v>425</v>
      </c>
      <c r="C27" s="48"/>
      <c r="D27" s="48"/>
      <c r="E27" s="48"/>
    </row>
    <row r="28" spans="2:5" x14ac:dyDescent="0.2">
      <c r="B28" s="59" t="s">
        <v>502</v>
      </c>
      <c r="C28" s="59"/>
      <c r="D28" s="59">
        <v>-539.70000000000005</v>
      </c>
      <c r="E28" s="59">
        <v>-531.20000000000005</v>
      </c>
    </row>
    <row r="29" spans="2:5" x14ac:dyDescent="0.2">
      <c r="B29" s="48" t="s">
        <v>503</v>
      </c>
      <c r="C29" s="48"/>
      <c r="D29" s="48">
        <v>-45.8</v>
      </c>
      <c r="E29" s="48">
        <v>-47</v>
      </c>
    </row>
    <row r="30" spans="2:5" x14ac:dyDescent="0.2">
      <c r="B30" s="59" t="s">
        <v>424</v>
      </c>
      <c r="C30" s="59"/>
      <c r="D30" s="59">
        <v>-9.4</v>
      </c>
      <c r="E30" s="59">
        <v>-9.5</v>
      </c>
    </row>
    <row r="31" spans="2:5" x14ac:dyDescent="0.2">
      <c r="B31" s="48" t="s">
        <v>426</v>
      </c>
      <c r="C31" s="48"/>
      <c r="D31" s="48">
        <v>-22.6</v>
      </c>
      <c r="E31" s="48">
        <v>0</v>
      </c>
    </row>
    <row r="32" spans="2:5" x14ac:dyDescent="0.2">
      <c r="B32" s="59" t="s">
        <v>504</v>
      </c>
      <c r="C32" s="59"/>
      <c r="D32" s="59">
        <v>-12.3</v>
      </c>
      <c r="E32" s="59">
        <v>-19.2</v>
      </c>
    </row>
    <row r="33" spans="1:5" x14ac:dyDescent="0.2">
      <c r="B33" s="115" t="s">
        <v>505</v>
      </c>
      <c r="C33" s="115"/>
      <c r="D33" s="115">
        <v>-37.200000000000003</v>
      </c>
      <c r="E33" s="115">
        <v>-36.299999999999997</v>
      </c>
    </row>
    <row r="34" spans="1:5" x14ac:dyDescent="0.2">
      <c r="B34" s="65" t="s">
        <v>506</v>
      </c>
      <c r="C34" s="65"/>
      <c r="D34" s="65">
        <f>SUM(D28:D33)</f>
        <v>-667</v>
      </c>
      <c r="E34" s="65">
        <f>SUM(E28:E33)</f>
        <v>-643.20000000000005</v>
      </c>
    </row>
    <row r="35" spans="1:5" x14ac:dyDescent="0.2">
      <c r="B35" s="48"/>
      <c r="C35" s="48"/>
      <c r="D35" s="48"/>
      <c r="E35" s="48"/>
    </row>
    <row r="36" spans="1:5" x14ac:dyDescent="0.2">
      <c r="B36" s="65" t="s">
        <v>74</v>
      </c>
      <c r="C36" s="65"/>
      <c r="D36" s="65">
        <f>D34+D25</f>
        <v>-1709.5</v>
      </c>
      <c r="E36" s="65">
        <f>E34+E25</f>
        <v>-1381.7000000000003</v>
      </c>
    </row>
    <row r="38" spans="1:5" x14ac:dyDescent="0.2">
      <c r="B38" s="28" t="s">
        <v>612</v>
      </c>
    </row>
    <row r="39" spans="1:5" x14ac:dyDescent="0.2">
      <c r="B39" t="s">
        <v>613</v>
      </c>
    </row>
    <row r="40" spans="1:5" x14ac:dyDescent="0.2">
      <c r="B40" t="s">
        <v>614</v>
      </c>
    </row>
    <row r="41" spans="1:5" x14ac:dyDescent="0.2">
      <c r="B41" t="s">
        <v>615</v>
      </c>
    </row>
    <row r="42" spans="1:5" x14ac:dyDescent="0.2">
      <c r="B42" t="s">
        <v>616</v>
      </c>
    </row>
    <row r="43" spans="1:5" x14ac:dyDescent="0.2">
      <c r="B43" t="s">
        <v>617</v>
      </c>
    </row>
    <row r="46" spans="1:5" ht="15" x14ac:dyDescent="0.25">
      <c r="A46" s="51" t="s">
        <v>143</v>
      </c>
    </row>
  </sheetData>
  <pageMargins left="0.74803149606299213" right="0.74803149606299213" top="0.98425196850393704" bottom="0.98425196850393704" header="0.51181102362204722" footer="0.51181102362204722"/>
  <pageSetup paperSize="9" scale="65" orientation="landscape" r:id="rId1"/>
  <headerFooter alignWithMargins="0">
    <oddHeader>&amp;L&amp;8&amp;F &amp;A</oddHeader>
    <oddFooter>&amp;R&amp;8&amp;P &amp;N&amp;L&amp;8© AMT Training 2008 - 2016</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P139"/>
  <sheetViews>
    <sheetView showGridLines="0" zoomScaleNormal="100" workbookViewId="0">
      <pane ySplit="2" topLeftCell="A3" activePane="bottomLeft" state="frozen"/>
      <selection pane="bottomLeft" activeCell="E27" sqref="E27"/>
    </sheetView>
  </sheetViews>
  <sheetFormatPr defaultColWidth="9.140625" defaultRowHeight="12.75" x14ac:dyDescent="0.2"/>
  <cols>
    <col min="1" max="1" width="1.7109375" style="47" customWidth="1"/>
    <col min="2" max="2" width="38.85546875" style="47" bestFit="1" customWidth="1"/>
    <col min="3" max="4" width="11.28515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#7</v>
      </c>
      <c r="B2" s="77"/>
      <c r="C2" s="77"/>
      <c r="D2" s="78"/>
      <c r="E2" s="78"/>
      <c r="F2" s="78"/>
      <c r="G2" s="78"/>
      <c r="H2" s="78"/>
      <c r="I2" s="78"/>
      <c r="J2" s="78"/>
      <c r="K2" s="78"/>
      <c r="L2" s="78"/>
      <c r="M2" s="78"/>
      <c r="N2" s="78"/>
      <c r="O2" s="78"/>
      <c r="P2" s="78"/>
    </row>
    <row r="3" spans="1:16" ht="13.5" thickTop="1" x14ac:dyDescent="0.2"/>
    <row r="4" spans="1:16" x14ac:dyDescent="0.2">
      <c r="B4" s="57" t="s">
        <v>507</v>
      </c>
    </row>
    <row r="6" spans="1:16" x14ac:dyDescent="0.2">
      <c r="B6" s="109" t="s">
        <v>508</v>
      </c>
    </row>
    <row r="7" spans="1:16" x14ac:dyDescent="0.2">
      <c r="B7" s="109" t="s">
        <v>509</v>
      </c>
    </row>
    <row r="8" spans="1:16" x14ac:dyDescent="0.2">
      <c r="B8" s="109" t="s">
        <v>510</v>
      </c>
    </row>
    <row r="10" spans="1:16" s="57" customFormat="1" x14ac:dyDescent="0.2">
      <c r="B10" s="57" t="s">
        <v>511</v>
      </c>
      <c r="C10" s="119"/>
      <c r="D10" s="119"/>
      <c r="E10" s="119"/>
    </row>
    <row r="11" spans="1:16" x14ac:dyDescent="0.2">
      <c r="B11" s="47" t="s">
        <v>512</v>
      </c>
      <c r="C11" s="39">
        <v>5500000</v>
      </c>
    </row>
    <row r="12" spans="1:16" x14ac:dyDescent="0.2">
      <c r="B12" s="47" t="s">
        <v>513</v>
      </c>
      <c r="C12" s="39">
        <v>4425456</v>
      </c>
    </row>
    <row r="13" spans="1:16" x14ac:dyDescent="0.2">
      <c r="B13" s="47" t="s">
        <v>514</v>
      </c>
      <c r="C13" s="39">
        <v>3952147</v>
      </c>
    </row>
    <row r="15" spans="1:16" ht="15" x14ac:dyDescent="0.25">
      <c r="A15" s="51" t="s">
        <v>143</v>
      </c>
    </row>
    <row r="16" spans="1:16" x14ac:dyDescent="0.2">
      <c r="B16" s="47" t="s">
        <v>515</v>
      </c>
      <c r="C16" s="24">
        <v>1500000</v>
      </c>
    </row>
    <row r="17" spans="2:5" x14ac:dyDescent="0.2">
      <c r="B17" s="47" t="s">
        <v>516</v>
      </c>
      <c r="C17" s="24">
        <v>530000</v>
      </c>
    </row>
    <row r="18" spans="2:5" x14ac:dyDescent="0.2">
      <c r="B18" s="47" t="s">
        <v>517</v>
      </c>
      <c r="C18" s="24">
        <v>190987</v>
      </c>
    </row>
    <row r="20" spans="2:5" s="57" customFormat="1" ht="15" x14ac:dyDescent="0.25">
      <c r="B20" s="57" t="s">
        <v>511</v>
      </c>
      <c r="C20" s="79" t="s">
        <v>518</v>
      </c>
      <c r="D20" s="79" t="s">
        <v>519</v>
      </c>
      <c r="E20" s="79" t="s">
        <v>520</v>
      </c>
    </row>
    <row r="21" spans="2:5" x14ac:dyDescent="0.2">
      <c r="B21" s="47" t="s">
        <v>512</v>
      </c>
      <c r="C21" s="50">
        <v>5500000</v>
      </c>
      <c r="D21" s="50">
        <f>C16</f>
        <v>1500000</v>
      </c>
      <c r="E21" s="50">
        <f>C21+D21</f>
        <v>7000000</v>
      </c>
    </row>
    <row r="22" spans="2:5" x14ac:dyDescent="0.2">
      <c r="B22" s="47" t="s">
        <v>513</v>
      </c>
      <c r="C22" s="50">
        <v>4425456</v>
      </c>
      <c r="D22" s="50">
        <f>C18</f>
        <v>190987</v>
      </c>
      <c r="E22" s="50">
        <f>C22+D22</f>
        <v>4616443</v>
      </c>
    </row>
    <row r="23" spans="2:5" x14ac:dyDescent="0.2">
      <c r="B23" s="47" t="s">
        <v>514</v>
      </c>
      <c r="C23" s="50">
        <v>3952147</v>
      </c>
      <c r="D23" s="50">
        <f>D22-530000</f>
        <v>-339013</v>
      </c>
      <c r="E23" s="50">
        <f>C23+D23</f>
        <v>3613134</v>
      </c>
    </row>
    <row r="24" spans="2:5" customFormat="1" x14ac:dyDescent="0.2"/>
    <row r="25" spans="2:5" customFormat="1" x14ac:dyDescent="0.2"/>
    <row r="26" spans="2:5" customFormat="1" x14ac:dyDescent="0.2"/>
    <row r="27" spans="2:5" customFormat="1" x14ac:dyDescent="0.2"/>
    <row r="28" spans="2:5" customFormat="1" x14ac:dyDescent="0.2"/>
    <row r="29" spans="2:5" customFormat="1" x14ac:dyDescent="0.2"/>
    <row r="30" spans="2:5" customFormat="1" x14ac:dyDescent="0.2"/>
    <row r="31" spans="2:5" customFormat="1" x14ac:dyDescent="0.2"/>
    <row r="32" spans="2:5"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sheetData>
  <pageMargins left="0.75" right="0.75" top="1" bottom="1" header="0.5" footer="0.5"/>
  <pageSetup orientation="portrait" r:id="rId1"/>
  <headerFooter alignWithMargins="0">
    <oddFooter>&amp;L&amp;8© AMT Training 2008 - 2016</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P173"/>
  <sheetViews>
    <sheetView showGridLines="0" zoomScaleNormal="100" workbookViewId="0">
      <pane ySplit="2" topLeftCell="A9" activePane="bottomLeft" state="frozen"/>
      <selection pane="bottomLeft" activeCell="I18" sqref="I18"/>
    </sheetView>
  </sheetViews>
  <sheetFormatPr defaultColWidth="9.140625" defaultRowHeight="12.75" x14ac:dyDescent="0.2"/>
  <cols>
    <col min="1" max="1" width="1.7109375" style="47" customWidth="1"/>
    <col min="2" max="2" width="38.85546875" style="47" bestFit="1" customWidth="1"/>
    <col min="3" max="4" width="11.28515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#8</v>
      </c>
      <c r="B2" s="77"/>
      <c r="C2" s="77"/>
      <c r="D2" s="78"/>
      <c r="E2" s="78"/>
      <c r="F2" s="78"/>
      <c r="G2" s="78"/>
      <c r="H2" s="78"/>
      <c r="I2" s="78"/>
      <c r="J2" s="78"/>
      <c r="K2" s="78"/>
      <c r="L2" s="78"/>
      <c r="M2" s="78"/>
      <c r="N2" s="78"/>
      <c r="O2" s="78"/>
      <c r="P2" s="78"/>
    </row>
    <row r="3" spans="1:16" ht="13.5" thickTop="1" x14ac:dyDescent="0.2"/>
    <row r="4" spans="1:16" x14ac:dyDescent="0.2">
      <c r="B4" s="57" t="s">
        <v>521</v>
      </c>
    </row>
    <row r="6" spans="1:16" x14ac:dyDescent="0.2">
      <c r="B6" s="109" t="s">
        <v>522</v>
      </c>
    </row>
    <row r="7" spans="1:16" x14ac:dyDescent="0.2">
      <c r="B7" s="109" t="s">
        <v>523</v>
      </c>
    </row>
    <row r="8" spans="1:16" x14ac:dyDescent="0.2">
      <c r="B8" s="109" t="s">
        <v>524</v>
      </c>
    </row>
    <row r="10" spans="1:16" s="57" customFormat="1" x14ac:dyDescent="0.2">
      <c r="B10" s="57" t="s">
        <v>511</v>
      </c>
      <c r="C10" s="119"/>
      <c r="D10" s="119"/>
      <c r="E10" s="119"/>
    </row>
    <row r="11" spans="1:16" x14ac:dyDescent="0.2">
      <c r="B11" s="47" t="s">
        <v>9</v>
      </c>
      <c r="C11" s="39">
        <v>100000</v>
      </c>
    </row>
    <row r="12" spans="1:16" x14ac:dyDescent="0.2">
      <c r="B12" s="47" t="s">
        <v>525</v>
      </c>
      <c r="C12" s="39">
        <v>1900000</v>
      </c>
    </row>
    <row r="13" spans="1:16" x14ac:dyDescent="0.2">
      <c r="B13" s="47" t="s">
        <v>298</v>
      </c>
      <c r="C13" s="39">
        <v>-500000</v>
      </c>
    </row>
    <row r="15" spans="1:16" ht="15" x14ac:dyDescent="0.25">
      <c r="A15" s="51" t="s">
        <v>143</v>
      </c>
    </row>
    <row r="16" spans="1:16" x14ac:dyDescent="0.2">
      <c r="A16" s="120"/>
    </row>
    <row r="17" spans="2:5" x14ac:dyDescent="0.2">
      <c r="B17" s="47" t="s">
        <v>526</v>
      </c>
      <c r="C17" s="24">
        <v>2000</v>
      </c>
    </row>
    <row r="18" spans="2:5" x14ac:dyDescent="0.2">
      <c r="B18" s="47" t="s">
        <v>527</v>
      </c>
      <c r="C18" s="24">
        <v>50</v>
      </c>
    </row>
    <row r="19" spans="2:5" x14ac:dyDescent="0.2">
      <c r="B19" s="47" t="s">
        <v>528</v>
      </c>
      <c r="C19" s="24">
        <v>1</v>
      </c>
    </row>
    <row r="21" spans="2:5" x14ac:dyDescent="0.2">
      <c r="B21" s="47" t="s">
        <v>529</v>
      </c>
      <c r="C21" s="24">
        <v>5000</v>
      </c>
    </row>
    <row r="22" spans="2:5" x14ac:dyDescent="0.2">
      <c r="B22" s="47" t="s">
        <v>530</v>
      </c>
      <c r="C22" s="24">
        <v>55</v>
      </c>
    </row>
    <row r="24" spans="2:5" s="57" customFormat="1" ht="15" x14ac:dyDescent="0.25">
      <c r="B24" s="57" t="s">
        <v>511</v>
      </c>
      <c r="C24" s="79" t="s">
        <v>518</v>
      </c>
      <c r="D24" s="79" t="s">
        <v>519</v>
      </c>
      <c r="E24" s="79" t="s">
        <v>520</v>
      </c>
    </row>
    <row r="25" spans="2:5" x14ac:dyDescent="0.2">
      <c r="B25" s="47" t="str">
        <f>B11</f>
        <v>Common stock</v>
      </c>
      <c r="C25" s="50">
        <f>C11</f>
        <v>100000</v>
      </c>
      <c r="D25" s="50">
        <f>C17*C19</f>
        <v>2000</v>
      </c>
      <c r="E25" s="50">
        <f>SUM(C25:D25)</f>
        <v>102000</v>
      </c>
    </row>
    <row r="26" spans="2:5" x14ac:dyDescent="0.2">
      <c r="B26" s="47" t="str">
        <f t="shared" ref="B26:C27" si="0">B12</f>
        <v>APIC</v>
      </c>
      <c r="C26" s="50">
        <f t="shared" si="0"/>
        <v>1900000</v>
      </c>
      <c r="D26" s="50">
        <f>C17*(C18-C19)</f>
        <v>98000</v>
      </c>
      <c r="E26" s="50">
        <f t="shared" ref="E26:E27" si="1">SUM(C26:D26)</f>
        <v>1998000</v>
      </c>
    </row>
    <row r="27" spans="2:5" x14ac:dyDescent="0.2">
      <c r="B27" s="47" t="str">
        <f t="shared" si="0"/>
        <v>Treasury stock</v>
      </c>
      <c r="C27" s="50">
        <f t="shared" si="0"/>
        <v>-500000</v>
      </c>
      <c r="D27" s="50">
        <f>-C21*C22</f>
        <v>-275000</v>
      </c>
      <c r="E27" s="50">
        <f t="shared" si="1"/>
        <v>-775000</v>
      </c>
    </row>
    <row r="28" spans="2:5" customFormat="1" x14ac:dyDescent="0.2"/>
    <row r="29" spans="2:5" customFormat="1" x14ac:dyDescent="0.2"/>
    <row r="30" spans="2:5" customFormat="1" x14ac:dyDescent="0.2"/>
    <row r="31" spans="2:5" customFormat="1" x14ac:dyDescent="0.2"/>
    <row r="32" spans="2:5"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sheetData>
  <pageMargins left="0.75" right="0.75" top="1" bottom="1" header="0.5" footer="0.5"/>
  <pageSetup orientation="portrait" r:id="rId1"/>
  <headerFooter alignWithMargins="0">
    <oddFooter>&amp;L&amp;8© AMT Training 2008 - 2016</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P189"/>
  <sheetViews>
    <sheetView showGridLines="0" zoomScaleNormal="100" workbookViewId="0">
      <pane ySplit="2" topLeftCell="A3" activePane="bottomLeft" state="frozen"/>
      <selection pane="bottomLeft" activeCell="B20" sqref="B20"/>
    </sheetView>
  </sheetViews>
  <sheetFormatPr defaultColWidth="9.140625" defaultRowHeight="12.75" x14ac:dyDescent="0.2"/>
  <cols>
    <col min="1" max="1" width="1.7109375" style="47" customWidth="1"/>
    <col min="2" max="2" width="38.85546875" style="47" bestFit="1" customWidth="1"/>
    <col min="3" max="4" width="11.28515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418</v>
      </c>
      <c r="B1" s="74"/>
      <c r="C1" s="74"/>
      <c r="D1" s="75"/>
      <c r="E1" s="75"/>
      <c r="F1" s="75"/>
      <c r="G1" s="75"/>
      <c r="H1" s="75"/>
      <c r="I1" s="75"/>
      <c r="J1" s="75"/>
      <c r="K1" s="75"/>
      <c r="L1" s="75"/>
      <c r="M1" s="75"/>
      <c r="N1" s="75"/>
      <c r="O1" s="75"/>
      <c r="P1" s="75"/>
    </row>
    <row r="2" spans="1:16" s="3" customFormat="1" ht="19.5" thickBot="1" x14ac:dyDescent="0.35">
      <c r="A2" s="76" t="str">
        <f ca="1">"Question D&amp;E #"&amp;RIGHT(CELL("filename",$A$1),LEN(CELL("filename",$A$1))-FIND("]",CELL("filename",$A$1))-5)</f>
        <v>Question D&amp;E #9</v>
      </c>
      <c r="B2" s="77"/>
      <c r="C2" s="77"/>
      <c r="D2" s="78"/>
      <c r="E2" s="78"/>
      <c r="F2" s="78"/>
      <c r="G2" s="78"/>
      <c r="H2" s="78"/>
      <c r="I2" s="78"/>
      <c r="J2" s="78"/>
      <c r="K2" s="78"/>
      <c r="L2" s="78"/>
      <c r="M2" s="78"/>
      <c r="N2" s="78"/>
      <c r="O2" s="78"/>
      <c r="P2" s="78"/>
    </row>
    <row r="3" spans="1:16" ht="13.5" thickTop="1" x14ac:dyDescent="0.2"/>
    <row r="4" spans="1:16" x14ac:dyDescent="0.2">
      <c r="B4" s="57" t="s">
        <v>531</v>
      </c>
    </row>
    <row r="6" spans="1:16" x14ac:dyDescent="0.2">
      <c r="B6" s="109" t="s">
        <v>532</v>
      </c>
      <c r="F6" s="39">
        <v>1251458</v>
      </c>
    </row>
    <row r="7" spans="1:16" x14ac:dyDescent="0.2">
      <c r="B7" s="109" t="s">
        <v>533</v>
      </c>
      <c r="F7" s="39">
        <v>925457</v>
      </c>
    </row>
    <row r="8" spans="1:16" x14ac:dyDescent="0.2">
      <c r="B8" s="109" t="s">
        <v>534</v>
      </c>
      <c r="F8" s="39">
        <v>50258</v>
      </c>
    </row>
    <row r="9" spans="1:16" x14ac:dyDescent="0.2">
      <c r="B9" s="109" t="s">
        <v>535</v>
      </c>
      <c r="F9" s="39">
        <v>158475</v>
      </c>
    </row>
    <row r="10" spans="1:16" x14ac:dyDescent="0.2">
      <c r="B10" s="109" t="s">
        <v>621</v>
      </c>
      <c r="F10" s="39">
        <v>250000</v>
      </c>
    </row>
    <row r="11" spans="1:16" x14ac:dyDescent="0.2">
      <c r="B11" s="109" t="s">
        <v>622</v>
      </c>
      <c r="F11" s="126">
        <v>6.7500000000000004E-2</v>
      </c>
    </row>
    <row r="12" spans="1:16" x14ac:dyDescent="0.2">
      <c r="B12" s="109" t="s">
        <v>536</v>
      </c>
      <c r="F12" s="39">
        <v>24500</v>
      </c>
    </row>
    <row r="14" spans="1:16" customFormat="1" ht="15" x14ac:dyDescent="0.25">
      <c r="A14" s="51" t="s">
        <v>143</v>
      </c>
    </row>
    <row r="15" spans="1:16" customFormat="1" x14ac:dyDescent="0.2"/>
    <row r="16" spans="1:16" customFormat="1" x14ac:dyDescent="0.2">
      <c r="B16" t="s">
        <v>642</v>
      </c>
    </row>
    <row r="17" spans="2:6" customFormat="1" x14ac:dyDescent="0.2">
      <c r="B17" s="138" t="s">
        <v>638</v>
      </c>
      <c r="F17">
        <f>F9</f>
        <v>158475</v>
      </c>
    </row>
    <row r="18" spans="2:6" customFormat="1" x14ac:dyDescent="0.2">
      <c r="B18" s="139" t="s">
        <v>643</v>
      </c>
      <c r="F18">
        <f>F6-F7-F8</f>
        <v>275743</v>
      </c>
    </row>
    <row r="19" spans="2:6" customFormat="1" x14ac:dyDescent="0.2">
      <c r="B19" s="139" t="s">
        <v>645</v>
      </c>
      <c r="F19">
        <f>F12</f>
        <v>24500</v>
      </c>
    </row>
    <row r="20" spans="2:6" customFormat="1" x14ac:dyDescent="0.2">
      <c r="B20" s="139" t="s">
        <v>644</v>
      </c>
      <c r="F20">
        <f>F10*F11</f>
        <v>16875</v>
      </c>
    </row>
    <row r="21" spans="2:6" customFormat="1" x14ac:dyDescent="0.2">
      <c r="B21" s="138" t="s">
        <v>638</v>
      </c>
      <c r="F21">
        <f>F17+F18-F19-F20</f>
        <v>392843</v>
      </c>
    </row>
    <row r="22" spans="2:6" customFormat="1" x14ac:dyDescent="0.2"/>
    <row r="23" spans="2:6" customFormat="1" x14ac:dyDescent="0.2"/>
    <row r="24" spans="2:6" customFormat="1" x14ac:dyDescent="0.2"/>
    <row r="25" spans="2:6" customFormat="1" x14ac:dyDescent="0.2"/>
    <row r="26" spans="2:6" customFormat="1" x14ac:dyDescent="0.2"/>
    <row r="27" spans="2:6" customFormat="1" x14ac:dyDescent="0.2"/>
    <row r="28" spans="2:6" customFormat="1" x14ac:dyDescent="0.2"/>
    <row r="29" spans="2:6" customFormat="1" x14ac:dyDescent="0.2"/>
    <row r="30" spans="2:6" customFormat="1" x14ac:dyDescent="0.2"/>
    <row r="31" spans="2:6" customFormat="1" x14ac:dyDescent="0.2"/>
    <row r="32" spans="2:6"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sheetData>
  <pageMargins left="0.75" right="0.75" top="1" bottom="1" header="0.5" footer="0.5"/>
  <pageSetup orientation="portrait" r:id="rId1"/>
  <headerFooter alignWithMargins="0">
    <oddFooter>&amp;L&amp;8© AMT Training 2008 - 2016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7"/>
  <sheetViews>
    <sheetView showGridLines="0" zoomScaleNormal="100" workbookViewId="0">
      <pane ySplit="2" topLeftCell="A3" activePane="bottomLeft" state="frozen"/>
      <selection pane="bottomLeft" activeCell="K60" sqref="K60"/>
    </sheetView>
  </sheetViews>
  <sheetFormatPr defaultColWidth="8.85546875" defaultRowHeight="12.75" x14ac:dyDescent="0.2"/>
  <cols>
    <col min="1" max="1" width="1.7109375" style="36" customWidth="1"/>
    <col min="2" max="2" width="9.7109375" style="36" customWidth="1"/>
    <col min="3" max="3" width="19.42578125" style="36" bestFit="1" customWidth="1"/>
    <col min="4" max="4" width="10.140625" style="36" bestFit="1" customWidth="1"/>
    <col min="5" max="5" width="8.85546875" style="36"/>
    <col min="6" max="6" width="17.28515625" style="36" bestFit="1" customWidth="1"/>
    <col min="7" max="7" width="10.140625" style="36" bestFit="1" customWidth="1"/>
    <col min="8" max="9" width="9.5703125" style="36" bestFit="1" customWidth="1"/>
    <col min="10" max="11" width="8.85546875" style="36"/>
    <col min="12" max="12" width="9.5703125" style="36" bestFit="1" customWidth="1"/>
    <col min="13" max="13" width="10.140625" style="36" bestFit="1" customWidth="1"/>
    <col min="14" max="14" width="9.5703125" style="36" bestFit="1" customWidth="1"/>
    <col min="15" max="15" width="8.85546875" style="36"/>
    <col min="16" max="16" width="9.5703125" style="36" bestFit="1" customWidth="1"/>
    <col min="17" max="17" width="8.85546875" style="36"/>
    <col min="18" max="18" width="9.5703125" style="36" bestFit="1" customWidth="1"/>
    <col min="19" max="19" width="10.140625" style="36" bestFit="1" customWidth="1"/>
    <col min="20" max="16384" width="8.85546875" style="36"/>
  </cols>
  <sheetData>
    <row r="1" spans="1:10" s="14" customFormat="1" ht="30" x14ac:dyDescent="0.45">
      <c r="A1" s="9" t="str">
        <f>CoName</f>
        <v>Accounting fundamentals</v>
      </c>
      <c r="B1" s="10"/>
      <c r="C1" s="10"/>
      <c r="D1" s="11"/>
      <c r="E1" s="11"/>
      <c r="F1" s="11"/>
      <c r="G1" s="11"/>
      <c r="H1" s="11"/>
      <c r="I1" s="11"/>
      <c r="J1" s="11"/>
    </row>
    <row r="2" spans="1:10" s="14" customFormat="1" ht="19.5" thickBot="1" x14ac:dyDescent="0.35">
      <c r="A2" s="5" t="str">
        <f ca="1">"Question AF #"&amp;RIGHT(CELL("filename",$A$1),LEN(CELL("filename",$A$1))-FIND("]",CELL("filename",$A$1))-4)</f>
        <v>Question AF #4</v>
      </c>
      <c r="B2" s="12"/>
      <c r="C2" s="12"/>
      <c r="D2" s="13"/>
      <c r="E2" s="13"/>
      <c r="F2" s="13"/>
      <c r="G2" s="13"/>
      <c r="H2" s="13"/>
      <c r="I2" s="13"/>
      <c r="J2" s="13"/>
    </row>
    <row r="3" spans="1:10" ht="13.5" thickTop="1" x14ac:dyDescent="0.2"/>
    <row r="4" spans="1:10" x14ac:dyDescent="0.2">
      <c r="B4" s="23" t="s">
        <v>131</v>
      </c>
    </row>
    <row r="5" spans="1:10" x14ac:dyDescent="0.2">
      <c r="B5" s="36" t="s">
        <v>130</v>
      </c>
    </row>
    <row r="6" spans="1:10" x14ac:dyDescent="0.2">
      <c r="B6" s="38"/>
    </row>
    <row r="7" spans="1:10" x14ac:dyDescent="0.2">
      <c r="B7" s="43">
        <v>1</v>
      </c>
      <c r="C7" s="36" t="s">
        <v>101</v>
      </c>
    </row>
    <row r="8" spans="1:10" x14ac:dyDescent="0.2">
      <c r="B8" s="43"/>
    </row>
    <row r="9" spans="1:10" x14ac:dyDescent="0.2">
      <c r="B9" s="43"/>
      <c r="C9" s="36" t="s">
        <v>5</v>
      </c>
      <c r="E9" s="36" t="s">
        <v>6</v>
      </c>
      <c r="F9" s="36" t="s">
        <v>7</v>
      </c>
      <c r="G9" s="37"/>
    </row>
    <row r="10" spans="1:10" x14ac:dyDescent="0.2">
      <c r="B10" s="43"/>
      <c r="C10" s="24" t="s">
        <v>12</v>
      </c>
      <c r="D10" s="24">
        <v>340</v>
      </c>
      <c r="F10" s="24"/>
      <c r="G10" s="24"/>
    </row>
    <row r="11" spans="1:10" x14ac:dyDescent="0.2">
      <c r="B11" s="43"/>
      <c r="C11" s="24" t="s">
        <v>8</v>
      </c>
      <c r="D11" s="24">
        <f>-D10</f>
        <v>-340</v>
      </c>
      <c r="F11" s="24"/>
      <c r="G11" s="24"/>
    </row>
    <row r="12" spans="1:10" x14ac:dyDescent="0.2">
      <c r="B12" s="43"/>
    </row>
    <row r="13" spans="1:10" x14ac:dyDescent="0.2">
      <c r="B13" s="43">
        <v>2</v>
      </c>
      <c r="C13" s="36" t="s">
        <v>102</v>
      </c>
    </row>
    <row r="14" spans="1:10" x14ac:dyDescent="0.2">
      <c r="B14" s="43"/>
    </row>
    <row r="15" spans="1:10" x14ac:dyDescent="0.2">
      <c r="B15" s="43"/>
      <c r="C15" s="36" t="s">
        <v>5</v>
      </c>
      <c r="E15" s="36" t="s">
        <v>6</v>
      </c>
      <c r="F15" s="36" t="s">
        <v>7</v>
      </c>
      <c r="G15" s="37"/>
    </row>
    <row r="16" spans="1:10" x14ac:dyDescent="0.2">
      <c r="B16" s="43"/>
      <c r="C16" s="24" t="s">
        <v>8</v>
      </c>
      <c r="D16" s="24">
        <f>G16</f>
        <v>2000</v>
      </c>
      <c r="F16" s="24" t="s">
        <v>109</v>
      </c>
      <c r="G16" s="24">
        <v>2000</v>
      </c>
    </row>
    <row r="17" spans="2:7" x14ac:dyDescent="0.2">
      <c r="B17" s="43"/>
      <c r="C17" s="24"/>
      <c r="D17" s="24"/>
      <c r="F17" s="24"/>
      <c r="G17" s="24"/>
    </row>
    <row r="18" spans="2:7" x14ac:dyDescent="0.2">
      <c r="B18" s="43"/>
    </row>
    <row r="19" spans="2:7" x14ac:dyDescent="0.2">
      <c r="B19" s="43">
        <v>3</v>
      </c>
      <c r="C19" s="36" t="s">
        <v>103</v>
      </c>
    </row>
    <row r="20" spans="2:7" x14ac:dyDescent="0.2">
      <c r="B20" s="43"/>
    </row>
    <row r="21" spans="2:7" x14ac:dyDescent="0.2">
      <c r="B21" s="43"/>
      <c r="C21" s="36" t="s">
        <v>5</v>
      </c>
      <c r="E21" s="36" t="s">
        <v>6</v>
      </c>
      <c r="F21" s="36" t="s">
        <v>7</v>
      </c>
      <c r="G21" s="37"/>
    </row>
    <row r="22" spans="2:7" x14ac:dyDescent="0.2">
      <c r="B22" s="43"/>
      <c r="C22" s="24" t="s">
        <v>17</v>
      </c>
      <c r="D22" s="24">
        <v>1260</v>
      </c>
      <c r="F22" s="24"/>
      <c r="G22" s="24"/>
    </row>
    <row r="23" spans="2:7" x14ac:dyDescent="0.2">
      <c r="B23" s="43"/>
      <c r="C23" s="24" t="s">
        <v>8</v>
      </c>
      <c r="D23" s="24">
        <f>-D22</f>
        <v>-1260</v>
      </c>
      <c r="F23" s="24"/>
      <c r="G23" s="24"/>
    </row>
    <row r="24" spans="2:7" x14ac:dyDescent="0.2">
      <c r="B24" s="43"/>
    </row>
    <row r="25" spans="2:7" x14ac:dyDescent="0.2">
      <c r="B25" s="43">
        <v>4</v>
      </c>
      <c r="C25" t="s">
        <v>139</v>
      </c>
    </row>
    <row r="26" spans="2:7" x14ac:dyDescent="0.2">
      <c r="B26" s="43"/>
    </row>
    <row r="27" spans="2:7" x14ac:dyDescent="0.2">
      <c r="B27" s="43"/>
      <c r="C27" s="36" t="s">
        <v>5</v>
      </c>
      <c r="E27" s="36" t="s">
        <v>6</v>
      </c>
      <c r="F27" s="36" t="s">
        <v>7</v>
      </c>
      <c r="G27" s="37"/>
    </row>
    <row r="28" spans="2:7" x14ac:dyDescent="0.2">
      <c r="B28" s="43"/>
      <c r="C28" s="24" t="s">
        <v>8</v>
      </c>
      <c r="D28" s="24">
        <v>290</v>
      </c>
      <c r="F28" s="24"/>
      <c r="G28" s="24"/>
    </row>
    <row r="29" spans="2:7" x14ac:dyDescent="0.2">
      <c r="B29" s="43"/>
      <c r="C29" s="24" t="s">
        <v>56</v>
      </c>
      <c r="D29" s="24">
        <f>-D28</f>
        <v>-290</v>
      </c>
      <c r="F29" s="24"/>
      <c r="G29" s="24"/>
    </row>
    <row r="30" spans="2:7" x14ac:dyDescent="0.2">
      <c r="B30" s="43"/>
    </row>
    <row r="31" spans="2:7" x14ac:dyDescent="0.2">
      <c r="B31" s="43">
        <v>5</v>
      </c>
      <c r="C31" s="36" t="s">
        <v>104</v>
      </c>
    </row>
    <row r="32" spans="2:7" x14ac:dyDescent="0.2">
      <c r="B32" s="43"/>
    </row>
    <row r="33" spans="2:11" x14ac:dyDescent="0.2">
      <c r="B33" s="43"/>
      <c r="C33" s="36" t="s">
        <v>5</v>
      </c>
      <c r="E33" s="36" t="s">
        <v>6</v>
      </c>
      <c r="F33" s="36" t="s">
        <v>7</v>
      </c>
      <c r="G33" s="37"/>
    </row>
    <row r="34" spans="2:11" x14ac:dyDescent="0.2">
      <c r="B34" s="43"/>
      <c r="C34" s="24" t="s">
        <v>8</v>
      </c>
      <c r="D34" s="24">
        <v>-225</v>
      </c>
      <c r="F34" s="24" t="s">
        <v>58</v>
      </c>
      <c r="G34" s="24">
        <f>D34</f>
        <v>-225</v>
      </c>
    </row>
    <row r="35" spans="2:11" x14ac:dyDescent="0.2">
      <c r="B35" s="43"/>
      <c r="C35" s="24"/>
      <c r="D35" s="24"/>
      <c r="F35" s="24"/>
      <c r="G35" s="24"/>
    </row>
    <row r="36" spans="2:11" x14ac:dyDescent="0.2">
      <c r="B36" s="43"/>
    </row>
    <row r="37" spans="2:11" x14ac:dyDescent="0.2">
      <c r="B37" s="43">
        <v>6</v>
      </c>
      <c r="C37" s="36" t="s">
        <v>105</v>
      </c>
    </row>
    <row r="39" spans="2:11" x14ac:dyDescent="0.2">
      <c r="C39" s="36" t="s">
        <v>5</v>
      </c>
      <c r="E39" s="36" t="s">
        <v>6</v>
      </c>
      <c r="F39" s="36" t="s">
        <v>7</v>
      </c>
      <c r="G39" s="37"/>
    </row>
    <row r="40" spans="2:11" x14ac:dyDescent="0.2">
      <c r="C40" s="24" t="s">
        <v>8</v>
      </c>
      <c r="D40" s="24">
        <v>-68.400000000000006</v>
      </c>
      <c r="F40" s="24" t="s">
        <v>106</v>
      </c>
      <c r="G40" s="24">
        <v>-68.400000000000006</v>
      </c>
    </row>
    <row r="41" spans="2:11" x14ac:dyDescent="0.2">
      <c r="C41" s="24"/>
      <c r="D41" s="24"/>
      <c r="F41" s="24"/>
      <c r="G41" s="24"/>
    </row>
    <row r="45" spans="2:11" s="38" customFormat="1" x14ac:dyDescent="0.2">
      <c r="C45" s="38" t="s">
        <v>107</v>
      </c>
      <c r="D45" s="44" t="s">
        <v>132</v>
      </c>
      <c r="E45" s="45">
        <v>1</v>
      </c>
      <c r="F45" s="45">
        <v>2</v>
      </c>
      <c r="G45" s="45">
        <v>3</v>
      </c>
      <c r="H45" s="45">
        <v>4</v>
      </c>
      <c r="I45" s="45">
        <v>5</v>
      </c>
      <c r="J45" s="45">
        <v>6</v>
      </c>
      <c r="K45" s="44" t="s">
        <v>133</v>
      </c>
    </row>
    <row r="46" spans="2:11" x14ac:dyDescent="0.2">
      <c r="C46" s="36" t="s">
        <v>8</v>
      </c>
      <c r="D46" s="39">
        <v>552</v>
      </c>
      <c r="E46" s="36">
        <v>-340</v>
      </c>
      <c r="F46" s="36">
        <v>2000</v>
      </c>
      <c r="G46" s="36">
        <v>-1260</v>
      </c>
      <c r="H46" s="36">
        <v>290</v>
      </c>
      <c r="I46" s="36">
        <v>-225</v>
      </c>
      <c r="J46" s="36">
        <v>-68.400000000000006</v>
      </c>
      <c r="K46" s="36">
        <f>SUM(D46:J46)</f>
        <v>948.6</v>
      </c>
    </row>
    <row r="47" spans="2:11" x14ac:dyDescent="0.2">
      <c r="C47" s="36" t="s">
        <v>56</v>
      </c>
      <c r="D47" s="39">
        <v>480</v>
      </c>
      <c r="H47" s="36">
        <v>-290</v>
      </c>
      <c r="K47" s="36">
        <f>SUM(D47:J47)</f>
        <v>190</v>
      </c>
    </row>
    <row r="48" spans="2:11" x14ac:dyDescent="0.2">
      <c r="C48" s="36" t="s">
        <v>108</v>
      </c>
      <c r="D48" s="39">
        <v>504</v>
      </c>
      <c r="E48" s="36">
        <v>340</v>
      </c>
      <c r="K48" s="36">
        <f>SUM(D48:J48)</f>
        <v>844</v>
      </c>
    </row>
    <row r="49" spans="3:11" s="38" customFormat="1" x14ac:dyDescent="0.2">
      <c r="C49" s="38" t="s">
        <v>69</v>
      </c>
      <c r="D49" s="38">
        <f>SUM(D46:D48)</f>
        <v>1536</v>
      </c>
      <c r="K49" s="38">
        <f>SUM(K46:K48)</f>
        <v>1982.6</v>
      </c>
    </row>
    <row r="50" spans="3:11" x14ac:dyDescent="0.2">
      <c r="C50" s="36" t="s">
        <v>57</v>
      </c>
      <c r="D50" s="39">
        <v>3000</v>
      </c>
      <c r="G50" s="36">
        <v>1260</v>
      </c>
      <c r="K50" s="36">
        <f>SUM(D50:J50)</f>
        <v>4260</v>
      </c>
    </row>
    <row r="51" spans="3:11" s="38" customFormat="1" x14ac:dyDescent="0.2">
      <c r="C51" s="38" t="s">
        <v>37</v>
      </c>
      <c r="D51" s="38">
        <f>SUM(D49:D50)</f>
        <v>4536</v>
      </c>
      <c r="K51" s="38">
        <f>SUM(K49:K50)</f>
        <v>6242.6</v>
      </c>
    </row>
    <row r="53" spans="3:11" x14ac:dyDescent="0.2">
      <c r="C53" s="36" t="s">
        <v>58</v>
      </c>
      <c r="D53" s="39">
        <v>432</v>
      </c>
      <c r="I53" s="36">
        <v>-225</v>
      </c>
      <c r="K53" s="36">
        <f>SUM(D53:J53)</f>
        <v>207</v>
      </c>
    </row>
    <row r="54" spans="3:11" x14ac:dyDescent="0.2">
      <c r="C54" s="36" t="s">
        <v>106</v>
      </c>
      <c r="D54" s="39">
        <v>74.400000000000006</v>
      </c>
      <c r="J54" s="36">
        <v>-68.400000000000006</v>
      </c>
      <c r="K54" s="36">
        <f>SUM(D54:J54)</f>
        <v>6</v>
      </c>
    </row>
    <row r="55" spans="3:11" s="38" customFormat="1" x14ac:dyDescent="0.2">
      <c r="C55" s="38" t="s">
        <v>71</v>
      </c>
      <c r="D55" s="38">
        <f>SUM(D53:D54)</f>
        <v>506.4</v>
      </c>
      <c r="K55" s="38">
        <f>SUM(K53:K54)</f>
        <v>213</v>
      </c>
    </row>
    <row r="56" spans="3:11" x14ac:dyDescent="0.2">
      <c r="C56" s="36" t="s">
        <v>109</v>
      </c>
      <c r="D56" s="39">
        <v>0</v>
      </c>
      <c r="F56" s="36">
        <v>2000</v>
      </c>
      <c r="K56" s="36">
        <f>SUM(D56:J56)</f>
        <v>2000</v>
      </c>
    </row>
    <row r="57" spans="3:11" s="38" customFormat="1" x14ac:dyDescent="0.2">
      <c r="C57" s="38" t="s">
        <v>74</v>
      </c>
      <c r="D57" s="38">
        <f>SUM(D55:D56)</f>
        <v>506.4</v>
      </c>
      <c r="K57" s="38">
        <f>SUM(K55:K56)</f>
        <v>2213</v>
      </c>
    </row>
    <row r="58" spans="3:11" x14ac:dyDescent="0.2">
      <c r="C58" s="36" t="s">
        <v>110</v>
      </c>
      <c r="D58" s="39">
        <v>4029.6</v>
      </c>
      <c r="K58" s="36">
        <f>SUM(D58:J58)</f>
        <v>4029.6</v>
      </c>
    </row>
    <row r="59" spans="3:11" s="38" customFormat="1" x14ac:dyDescent="0.2">
      <c r="C59" s="38" t="s">
        <v>38</v>
      </c>
      <c r="D59" s="38">
        <f>SUM(D57:D58)</f>
        <v>4536</v>
      </c>
      <c r="K59" s="38">
        <f>SUM(K57:K58)</f>
        <v>6242.6</v>
      </c>
    </row>
    <row r="61" spans="3:11" customFormat="1" x14ac:dyDescent="0.2"/>
    <row r="62" spans="3:11" customFormat="1" x14ac:dyDescent="0.2"/>
    <row r="63" spans="3:11" customFormat="1" x14ac:dyDescent="0.2"/>
    <row r="64" spans="3:11"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sheetData>
  <pageMargins left="0.75" right="0.75" top="1" bottom="1" header="0.5" footer="0.5"/>
  <pageSetup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P152"/>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26.5703125"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538</v>
      </c>
      <c r="B1" s="121"/>
      <c r="C1" s="74"/>
      <c r="D1" s="75"/>
      <c r="E1" s="75"/>
      <c r="F1" s="75"/>
      <c r="G1" s="75"/>
      <c r="H1" s="75"/>
      <c r="I1" s="75"/>
      <c r="J1" s="75"/>
      <c r="K1" s="75"/>
      <c r="L1" s="75"/>
      <c r="M1" s="75"/>
      <c r="N1" s="75"/>
      <c r="O1" s="75"/>
      <c r="P1" s="75"/>
    </row>
    <row r="2" spans="1:16" s="3" customFormat="1" ht="19.5" thickBot="1" x14ac:dyDescent="0.35">
      <c r="A2" s="76" t="str">
        <f ca="1">"Question CFS #"&amp;RIGHT(CELL("filename",$A$1),LEN(CELL("filename",$A$1))-FIND("]",CELL("filename",$A$1))-5)</f>
        <v>Question CFS #1</v>
      </c>
      <c r="B2" s="122"/>
      <c r="C2" s="77"/>
      <c r="D2" s="78"/>
      <c r="E2" s="78"/>
      <c r="F2" s="78"/>
      <c r="G2" s="78"/>
      <c r="H2" s="78"/>
      <c r="I2" s="78"/>
      <c r="J2" s="78"/>
      <c r="K2" s="78"/>
      <c r="L2" s="78"/>
      <c r="M2" s="78"/>
      <c r="N2" s="78"/>
      <c r="O2" s="78"/>
      <c r="P2" s="78"/>
    </row>
    <row r="3" spans="1:16" ht="13.5" thickTop="1" x14ac:dyDescent="0.2"/>
    <row r="4" spans="1:16" x14ac:dyDescent="0.2">
      <c r="B4" s="57" t="s">
        <v>539</v>
      </c>
    </row>
    <row r="6" spans="1:16" s="57" customFormat="1" x14ac:dyDescent="0.2">
      <c r="B6" s="57" t="s">
        <v>140</v>
      </c>
      <c r="D6" s="88" t="s">
        <v>218</v>
      </c>
    </row>
    <row r="7" spans="1:16" x14ac:dyDescent="0.2">
      <c r="B7" s="47" t="s">
        <v>25</v>
      </c>
      <c r="D7" s="39">
        <v>2000</v>
      </c>
    </row>
    <row r="8" spans="1:16" x14ac:dyDescent="0.2">
      <c r="B8" s="47" t="s">
        <v>303</v>
      </c>
      <c r="D8" s="39">
        <v>1200</v>
      </c>
    </row>
    <row r="9" spans="1:16" x14ac:dyDescent="0.2">
      <c r="B9" s="47" t="s">
        <v>388</v>
      </c>
      <c r="D9" s="39">
        <v>24</v>
      </c>
    </row>
    <row r="10" spans="1:16" s="57" customFormat="1" x14ac:dyDescent="0.2">
      <c r="B10" s="57" t="s">
        <v>27</v>
      </c>
      <c r="D10" s="57">
        <f>D7-D8-D9</f>
        <v>776</v>
      </c>
    </row>
    <row r="11" spans="1:16" x14ac:dyDescent="0.2">
      <c r="B11" s="47" t="s">
        <v>66</v>
      </c>
      <c r="D11" s="39">
        <v>234</v>
      </c>
    </row>
    <row r="12" spans="1:16" s="57" customFormat="1" x14ac:dyDescent="0.2">
      <c r="B12" s="57" t="s">
        <v>29</v>
      </c>
      <c r="D12" s="57">
        <f>D10-D11</f>
        <v>542</v>
      </c>
    </row>
    <row r="13" spans="1:16" x14ac:dyDescent="0.2">
      <c r="B13" s="47" t="s">
        <v>30</v>
      </c>
      <c r="D13" s="39">
        <v>7</v>
      </c>
    </row>
    <row r="14" spans="1:16" s="57" customFormat="1" x14ac:dyDescent="0.2">
      <c r="B14" s="57" t="s">
        <v>540</v>
      </c>
      <c r="D14" s="57">
        <f>D12-D13</f>
        <v>535</v>
      </c>
    </row>
    <row r="15" spans="1:16" x14ac:dyDescent="0.2">
      <c r="B15" s="47" t="s">
        <v>541</v>
      </c>
      <c r="D15" s="39">
        <v>161</v>
      </c>
    </row>
    <row r="16" spans="1:16" s="57" customFormat="1" x14ac:dyDescent="0.2">
      <c r="B16" s="57" t="s">
        <v>44</v>
      </c>
      <c r="D16" s="57">
        <f>D14-D15</f>
        <v>374</v>
      </c>
    </row>
    <row r="18" spans="2:4" s="87" customFormat="1" ht="15" x14ac:dyDescent="0.25">
      <c r="B18" s="57" t="s">
        <v>107</v>
      </c>
      <c r="C18" s="79" t="s">
        <v>219</v>
      </c>
      <c r="D18" s="79" t="s">
        <v>218</v>
      </c>
    </row>
    <row r="19" spans="2:4" x14ac:dyDescent="0.2">
      <c r="B19" s="47" t="s">
        <v>8</v>
      </c>
      <c r="C19" s="39">
        <v>35</v>
      </c>
      <c r="D19" s="39">
        <v>56</v>
      </c>
    </row>
    <row r="20" spans="2:4" x14ac:dyDescent="0.2">
      <c r="B20" s="47" t="s">
        <v>56</v>
      </c>
      <c r="C20" s="39">
        <v>120</v>
      </c>
      <c r="D20" s="39">
        <v>134</v>
      </c>
    </row>
    <row r="21" spans="2:4" x14ac:dyDescent="0.2">
      <c r="B21" s="47" t="s">
        <v>12</v>
      </c>
      <c r="C21" s="39">
        <v>98</v>
      </c>
      <c r="D21" s="39">
        <v>112</v>
      </c>
    </row>
    <row r="22" spans="2:4" s="57" customFormat="1" x14ac:dyDescent="0.2">
      <c r="B22" s="57" t="s">
        <v>69</v>
      </c>
      <c r="C22" s="57">
        <f>SUM(C19:C21)</f>
        <v>253</v>
      </c>
      <c r="D22" s="57">
        <f>SUM(D19:D21)</f>
        <v>302</v>
      </c>
    </row>
    <row r="23" spans="2:4" x14ac:dyDescent="0.2">
      <c r="B23" s="47" t="s">
        <v>57</v>
      </c>
      <c r="C23" s="39">
        <v>234</v>
      </c>
      <c r="D23" s="39">
        <v>254</v>
      </c>
    </row>
    <row r="24" spans="2:4" s="57" customFormat="1" x14ac:dyDescent="0.2">
      <c r="B24" s="57" t="s">
        <v>37</v>
      </c>
      <c r="C24" s="57">
        <f>SUM(C22:C23)</f>
        <v>487</v>
      </c>
      <c r="D24" s="57">
        <f t="shared" ref="D24" si="0">SUM(D22:D23)</f>
        <v>556</v>
      </c>
    </row>
    <row r="25" spans="2:4" x14ac:dyDescent="0.2">
      <c r="B25" s="47" t="s">
        <v>58</v>
      </c>
      <c r="C25" s="39">
        <v>100</v>
      </c>
      <c r="D25" s="39">
        <v>123</v>
      </c>
    </row>
    <row r="26" spans="2:4" x14ac:dyDescent="0.2">
      <c r="B26" s="47" t="s">
        <v>106</v>
      </c>
      <c r="C26" s="39">
        <v>32</v>
      </c>
      <c r="D26" s="39">
        <v>43</v>
      </c>
    </row>
    <row r="27" spans="2:4" s="57" customFormat="1" x14ac:dyDescent="0.2">
      <c r="B27" s="57" t="s">
        <v>71</v>
      </c>
      <c r="C27" s="57">
        <f>SUM(C25:C26)</f>
        <v>132</v>
      </c>
      <c r="D27" s="57">
        <f t="shared" ref="D27" si="1">SUM(D25:D26)</f>
        <v>166</v>
      </c>
    </row>
    <row r="28" spans="2:4" x14ac:dyDescent="0.2">
      <c r="B28" s="47" t="s">
        <v>72</v>
      </c>
      <c r="C28" s="39">
        <v>100</v>
      </c>
      <c r="D28" s="39">
        <v>140</v>
      </c>
    </row>
    <row r="29" spans="2:4" s="57" customFormat="1" x14ac:dyDescent="0.2">
      <c r="B29" s="57" t="s">
        <v>74</v>
      </c>
      <c r="C29" s="57">
        <f>SUM(C27:C28)</f>
        <v>232</v>
      </c>
      <c r="D29" s="57">
        <f t="shared" ref="D29" si="2">SUM(D27:D28)</f>
        <v>306</v>
      </c>
    </row>
    <row r="30" spans="2:4" x14ac:dyDescent="0.2">
      <c r="B30" s="47" t="s">
        <v>9</v>
      </c>
      <c r="C30" s="39">
        <v>50</v>
      </c>
      <c r="D30" s="39">
        <v>50</v>
      </c>
    </row>
    <row r="31" spans="2:4" x14ac:dyDescent="0.2">
      <c r="B31" s="47" t="s">
        <v>297</v>
      </c>
      <c r="C31" s="39">
        <v>123</v>
      </c>
      <c r="D31" s="39">
        <v>123</v>
      </c>
    </row>
    <row r="32" spans="2:4" x14ac:dyDescent="0.2">
      <c r="B32" s="47" t="s">
        <v>10</v>
      </c>
      <c r="C32" s="39">
        <v>82</v>
      </c>
      <c r="D32" s="39">
        <v>77</v>
      </c>
    </row>
    <row r="33" spans="1:4" s="57" customFormat="1" x14ac:dyDescent="0.2">
      <c r="B33" s="57" t="s">
        <v>75</v>
      </c>
      <c r="C33" s="57">
        <f>SUM(C30:C32)</f>
        <v>255</v>
      </c>
      <c r="D33" s="57">
        <f t="shared" ref="D33" si="3">SUM(D30:D32)</f>
        <v>250</v>
      </c>
    </row>
    <row r="34" spans="1:4" s="57" customFormat="1" x14ac:dyDescent="0.2">
      <c r="B34" s="57" t="s">
        <v>38</v>
      </c>
      <c r="C34" s="57">
        <f>SUM(C29,C33)</f>
        <v>487</v>
      </c>
      <c r="D34" s="57">
        <f t="shared" ref="D34" si="4">SUM(D29,D33)</f>
        <v>556</v>
      </c>
    </row>
    <row r="36" spans="1:4" customFormat="1" ht="15" x14ac:dyDescent="0.25">
      <c r="A36" s="51" t="s">
        <v>143</v>
      </c>
    </row>
    <row r="37" spans="1:4" customFormat="1" x14ac:dyDescent="0.2"/>
    <row r="38" spans="1:4" customFormat="1" x14ac:dyDescent="0.2"/>
    <row r="39" spans="1:4" customFormat="1" x14ac:dyDescent="0.2"/>
    <row r="40" spans="1:4" customFormat="1" x14ac:dyDescent="0.2"/>
    <row r="41" spans="1:4" customFormat="1" x14ac:dyDescent="0.2"/>
    <row r="42" spans="1:4" customFormat="1" x14ac:dyDescent="0.2"/>
    <row r="43" spans="1:4" customFormat="1" x14ac:dyDescent="0.2"/>
    <row r="44" spans="1:4" customFormat="1" x14ac:dyDescent="0.2"/>
    <row r="45" spans="1:4" customFormat="1" x14ac:dyDescent="0.2"/>
    <row r="46" spans="1:4" customFormat="1" x14ac:dyDescent="0.2"/>
    <row r="47" spans="1:4" customFormat="1" x14ac:dyDescent="0.2"/>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sheetData>
  <pageMargins left="0.75" right="0.75" top="1" bottom="1" header="0.5" footer="0.5"/>
  <pageSetup orientation="portrait" r:id="rId1"/>
  <headerFooter alignWithMargins="0">
    <oddFooter>&amp;L&amp;8© AMT Training 2008 - 2016</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P141"/>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9"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538</v>
      </c>
      <c r="B1" s="121"/>
      <c r="C1" s="74"/>
      <c r="D1" s="75"/>
      <c r="E1" s="75"/>
      <c r="F1" s="75"/>
      <c r="G1" s="75"/>
      <c r="H1" s="75"/>
      <c r="I1" s="75"/>
      <c r="J1" s="75"/>
      <c r="K1" s="75"/>
      <c r="L1" s="75"/>
      <c r="M1" s="75"/>
      <c r="N1" s="75"/>
      <c r="O1" s="75"/>
      <c r="P1" s="75"/>
    </row>
    <row r="2" spans="1:16" s="3" customFormat="1" ht="19.5" thickBot="1" x14ac:dyDescent="0.35">
      <c r="A2" s="76" t="str">
        <f ca="1">"Question CFS #"&amp;RIGHT(CELL("filename",$A$1),LEN(CELL("filename",$A$1))-FIND("]",CELL("filename",$A$1))-5)</f>
        <v>Question CFS #2</v>
      </c>
      <c r="B2" s="122"/>
      <c r="C2" s="77"/>
      <c r="D2" s="78"/>
      <c r="E2" s="78"/>
      <c r="F2" s="78"/>
      <c r="G2" s="78"/>
      <c r="H2" s="78"/>
      <c r="I2" s="78"/>
      <c r="J2" s="78"/>
      <c r="K2" s="78"/>
      <c r="L2" s="78"/>
      <c r="M2" s="78"/>
      <c r="N2" s="78"/>
      <c r="O2" s="78"/>
      <c r="P2" s="78"/>
    </row>
    <row r="3" spans="1:16" ht="13.5" thickTop="1" x14ac:dyDescent="0.2"/>
    <row r="4" spans="1:16" ht="15" x14ac:dyDescent="0.25">
      <c r="B4" s="92" t="s">
        <v>542</v>
      </c>
    </row>
    <row r="7" spans="1:16" s="87" customFormat="1" ht="15" x14ac:dyDescent="0.25">
      <c r="B7" s="57" t="s">
        <v>543</v>
      </c>
      <c r="C7" s="79" t="s">
        <v>544</v>
      </c>
      <c r="D7" s="79" t="s">
        <v>545</v>
      </c>
    </row>
    <row r="8" spans="1:16" x14ac:dyDescent="0.2">
      <c r="B8" s="47" t="s">
        <v>25</v>
      </c>
      <c r="C8" s="39">
        <v>1607.2</v>
      </c>
      <c r="D8" s="39">
        <v>2407.6</v>
      </c>
    </row>
    <row r="9" spans="1:16" x14ac:dyDescent="0.2">
      <c r="B9" s="47" t="s">
        <v>546</v>
      </c>
      <c r="C9" s="39">
        <v>1092.9000000000001</v>
      </c>
      <c r="D9" s="39">
        <v>1637.2</v>
      </c>
    </row>
    <row r="10" spans="1:16" s="57" customFormat="1" x14ac:dyDescent="0.2">
      <c r="B10" s="57" t="s">
        <v>27</v>
      </c>
      <c r="C10" s="57">
        <f>C8-C9</f>
        <v>514.29999999999995</v>
      </c>
      <c r="D10" s="57">
        <f t="shared" ref="D10" si="0">D8-D9</f>
        <v>770.39999999999986</v>
      </c>
    </row>
    <row r="11" spans="1:16" x14ac:dyDescent="0.2">
      <c r="B11" s="47" t="s">
        <v>547</v>
      </c>
      <c r="C11" s="39">
        <v>369.7</v>
      </c>
      <c r="D11" s="39">
        <v>553.70000000000005</v>
      </c>
    </row>
    <row r="12" spans="1:16" s="57" customFormat="1" x14ac:dyDescent="0.2">
      <c r="B12" s="57" t="s">
        <v>548</v>
      </c>
      <c r="C12" s="57">
        <f>C10-C11</f>
        <v>144.59999999999997</v>
      </c>
      <c r="D12" s="57">
        <f t="shared" ref="D12" si="1">D10-D11</f>
        <v>216.69999999999982</v>
      </c>
    </row>
    <row r="13" spans="1:16" x14ac:dyDescent="0.2">
      <c r="B13" s="47" t="s">
        <v>388</v>
      </c>
      <c r="C13" s="39">
        <v>27</v>
      </c>
      <c r="D13" s="39">
        <v>22.2</v>
      </c>
    </row>
    <row r="14" spans="1:16" s="57" customFormat="1" x14ac:dyDescent="0.2">
      <c r="B14" s="57" t="s">
        <v>549</v>
      </c>
      <c r="C14" s="57">
        <f>C12-C13</f>
        <v>117.59999999999997</v>
      </c>
      <c r="D14" s="57">
        <f t="shared" ref="D14" si="2">D12-D13</f>
        <v>194.49999999999983</v>
      </c>
    </row>
    <row r="15" spans="1:16" x14ac:dyDescent="0.2">
      <c r="B15" s="47" t="s">
        <v>236</v>
      </c>
      <c r="C15" s="39">
        <v>1</v>
      </c>
      <c r="D15" s="39">
        <v>0.1</v>
      </c>
    </row>
    <row r="16" spans="1:16" x14ac:dyDescent="0.2">
      <c r="B16" s="47" t="s">
        <v>30</v>
      </c>
      <c r="C16" s="39">
        <v>10</v>
      </c>
      <c r="D16" s="39">
        <v>12.1</v>
      </c>
    </row>
    <row r="17" spans="2:4" s="57" customFormat="1" x14ac:dyDescent="0.2">
      <c r="B17" s="57" t="s">
        <v>31</v>
      </c>
      <c r="C17" s="57">
        <f>C14+C15-C16</f>
        <v>108.59999999999997</v>
      </c>
      <c r="D17" s="57">
        <f t="shared" ref="D17" si="3">D14+D15-D16</f>
        <v>182.49999999999983</v>
      </c>
    </row>
    <row r="18" spans="2:4" x14ac:dyDescent="0.2">
      <c r="B18" s="47" t="s">
        <v>550</v>
      </c>
      <c r="C18" s="39">
        <v>35.299999999999997</v>
      </c>
      <c r="D18" s="39">
        <v>54.7</v>
      </c>
    </row>
    <row r="19" spans="2:4" s="57" customFormat="1" x14ac:dyDescent="0.2">
      <c r="B19" s="57" t="s">
        <v>44</v>
      </c>
      <c r="C19" s="57">
        <f>C17-C18</f>
        <v>73.299999999999969</v>
      </c>
      <c r="D19" s="57">
        <f t="shared" ref="D19" si="4">D17-D18</f>
        <v>127.79999999999983</v>
      </c>
    </row>
    <row r="21" spans="2:4" x14ac:dyDescent="0.2">
      <c r="B21" s="57" t="s">
        <v>551</v>
      </c>
      <c r="C21" s="88" t="s">
        <v>544</v>
      </c>
      <c r="D21" s="88" t="s">
        <v>545</v>
      </c>
    </row>
    <row r="22" spans="2:4" x14ac:dyDescent="0.2">
      <c r="B22" s="47" t="s">
        <v>552</v>
      </c>
      <c r="C22" s="39">
        <v>23.9</v>
      </c>
      <c r="D22" s="39">
        <v>23.9</v>
      </c>
    </row>
    <row r="23" spans="2:4" x14ac:dyDescent="0.2">
      <c r="B23" s="47" t="s">
        <v>45</v>
      </c>
      <c r="C23" s="39">
        <v>23</v>
      </c>
      <c r="D23" s="39">
        <v>25.5</v>
      </c>
    </row>
    <row r="24" spans="2:4" x14ac:dyDescent="0.2">
      <c r="B24" s="47" t="s">
        <v>553</v>
      </c>
      <c r="C24" s="123">
        <f>C19/C22</f>
        <v>3.0669456066945595</v>
      </c>
      <c r="D24" s="123">
        <f t="shared" ref="D24" si="5">D19/D22</f>
        <v>5.3472803347280262</v>
      </c>
    </row>
    <row r="26" spans="2:4" s="87" customFormat="1" x14ac:dyDescent="0.2">
      <c r="B26" s="57" t="s">
        <v>17</v>
      </c>
      <c r="C26" s="88" t="s">
        <v>544</v>
      </c>
      <c r="D26" s="88" t="s">
        <v>545</v>
      </c>
    </row>
    <row r="27" spans="2:4" x14ac:dyDescent="0.2">
      <c r="B27" s="47" t="s">
        <v>554</v>
      </c>
      <c r="C27" s="39">
        <v>247.5</v>
      </c>
      <c r="D27" s="39">
        <v>277.89999999999998</v>
      </c>
    </row>
    <row r="28" spans="2:4" x14ac:dyDescent="0.2">
      <c r="B28" s="47" t="s">
        <v>555</v>
      </c>
      <c r="C28" s="39">
        <v>57.4</v>
      </c>
      <c r="D28" s="39">
        <v>120.4</v>
      </c>
    </row>
    <row r="29" spans="2:4" x14ac:dyDescent="0.2">
      <c r="B29" s="47" t="s">
        <v>556</v>
      </c>
      <c r="C29" s="39">
        <v>27</v>
      </c>
      <c r="D29" s="39">
        <v>22.2</v>
      </c>
    </row>
    <row r="30" spans="2:4" x14ac:dyDescent="0.2">
      <c r="B30" s="47" t="s">
        <v>557</v>
      </c>
      <c r="C30" s="47">
        <f>C27+C28-C29</f>
        <v>277.89999999999998</v>
      </c>
      <c r="D30" s="47">
        <f>D27+D28-D29</f>
        <v>376.09999999999997</v>
      </c>
    </row>
    <row r="32" spans="2:4" s="57" customFormat="1" x14ac:dyDescent="0.2">
      <c r="B32" s="57" t="s">
        <v>10</v>
      </c>
    </row>
    <row r="33" spans="2:4" x14ac:dyDescent="0.2">
      <c r="B33" s="47" t="s">
        <v>558</v>
      </c>
      <c r="C33" s="39">
        <v>197.6</v>
      </c>
      <c r="D33" s="39">
        <v>247.9</v>
      </c>
    </row>
    <row r="34" spans="2:4" x14ac:dyDescent="0.2">
      <c r="B34" s="47" t="s">
        <v>44</v>
      </c>
      <c r="C34" s="39">
        <v>73.3</v>
      </c>
      <c r="D34" s="39">
        <v>127.8</v>
      </c>
    </row>
    <row r="35" spans="2:4" x14ac:dyDescent="0.2">
      <c r="B35" s="47" t="s">
        <v>559</v>
      </c>
      <c r="C35" s="39">
        <v>23</v>
      </c>
      <c r="D35" s="39">
        <v>25.5</v>
      </c>
    </row>
    <row r="36" spans="2:4" x14ac:dyDescent="0.2">
      <c r="B36" s="47" t="s">
        <v>560</v>
      </c>
      <c r="C36" s="47">
        <f>C33+C34-C35</f>
        <v>247.89999999999998</v>
      </c>
      <c r="D36" s="47">
        <f t="shared" ref="D36" si="6">D33+D34-D35</f>
        <v>350.2</v>
      </c>
    </row>
    <row r="38" spans="2:4" s="57" customFormat="1" x14ac:dyDescent="0.2">
      <c r="B38" s="57" t="s">
        <v>561</v>
      </c>
    </row>
    <row r="39" spans="2:4" x14ac:dyDescent="0.2">
      <c r="B39" s="47" t="s">
        <v>56</v>
      </c>
      <c r="C39" s="39">
        <v>114.8</v>
      </c>
      <c r="D39" s="39">
        <v>240.8</v>
      </c>
    </row>
    <row r="40" spans="2:4" x14ac:dyDescent="0.2">
      <c r="B40" s="47" t="s">
        <v>108</v>
      </c>
      <c r="C40" s="39">
        <v>60.5</v>
      </c>
      <c r="D40" s="39">
        <v>126.1</v>
      </c>
    </row>
    <row r="41" spans="2:4" x14ac:dyDescent="0.2">
      <c r="B41" s="47" t="s">
        <v>562</v>
      </c>
      <c r="C41" s="47">
        <f>SUM(C39:C40)</f>
        <v>175.3</v>
      </c>
      <c r="D41" s="47">
        <f t="shared" ref="D41" si="7">SUM(D39:D40)</f>
        <v>366.9</v>
      </c>
    </row>
    <row r="42" spans="2:4" x14ac:dyDescent="0.2">
      <c r="B42" s="47" t="s">
        <v>58</v>
      </c>
      <c r="C42" s="39">
        <v>68.7</v>
      </c>
      <c r="D42" s="39">
        <v>144.1</v>
      </c>
    </row>
    <row r="43" spans="2:4" x14ac:dyDescent="0.2">
      <c r="B43" s="47" t="s">
        <v>563</v>
      </c>
      <c r="C43" s="47">
        <f>C41-C42</f>
        <v>106.60000000000001</v>
      </c>
      <c r="D43" s="47">
        <f t="shared" ref="D43" si="8">D41-D42</f>
        <v>222.79999999999998</v>
      </c>
    </row>
    <row r="45" spans="2:4" s="87" customFormat="1" x14ac:dyDescent="0.2">
      <c r="B45" s="57" t="s">
        <v>109</v>
      </c>
    </row>
    <row r="46" spans="2:4" x14ac:dyDescent="0.2">
      <c r="B46" s="47" t="s">
        <v>564</v>
      </c>
      <c r="C46" s="39">
        <v>98</v>
      </c>
      <c r="D46" s="39">
        <v>98</v>
      </c>
    </row>
    <row r="47" spans="2:4" x14ac:dyDescent="0.2">
      <c r="B47" s="47" t="s">
        <v>565</v>
      </c>
      <c r="C47" s="39">
        <v>0</v>
      </c>
      <c r="D47" s="39">
        <v>14</v>
      </c>
    </row>
    <row r="48" spans="2:4" x14ac:dyDescent="0.2">
      <c r="B48" s="47" t="s">
        <v>566</v>
      </c>
      <c r="C48" s="39">
        <v>0</v>
      </c>
      <c r="D48" s="39">
        <v>0</v>
      </c>
    </row>
    <row r="49" spans="1:4" x14ac:dyDescent="0.2">
      <c r="B49" s="47" t="s">
        <v>567</v>
      </c>
      <c r="C49" s="47">
        <f>C46+C47-C48</f>
        <v>98</v>
      </c>
      <c r="D49" s="47">
        <f t="shared" ref="D49" si="9">D46+D47-D48</f>
        <v>112</v>
      </c>
    </row>
    <row r="54" spans="1:4" customFormat="1" ht="15" x14ac:dyDescent="0.25">
      <c r="A54" s="51" t="s">
        <v>143</v>
      </c>
    </row>
    <row r="55" spans="1:4" customFormat="1" x14ac:dyDescent="0.2"/>
    <row r="56" spans="1:4" customFormat="1" x14ac:dyDescent="0.2"/>
    <row r="57" spans="1:4" customFormat="1" x14ac:dyDescent="0.2"/>
    <row r="58" spans="1:4" customFormat="1" x14ac:dyDescent="0.2"/>
    <row r="59" spans="1:4" customFormat="1" x14ac:dyDescent="0.2"/>
    <row r="60" spans="1:4" customFormat="1" x14ac:dyDescent="0.2"/>
    <row r="61" spans="1:4" customFormat="1" x14ac:dyDescent="0.2"/>
    <row r="62" spans="1:4" customFormat="1" x14ac:dyDescent="0.2"/>
    <row r="63" spans="1:4" customFormat="1" x14ac:dyDescent="0.2"/>
    <row r="64" spans="1: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P168"/>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9"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538</v>
      </c>
      <c r="B1" s="121"/>
      <c r="C1" s="74"/>
      <c r="D1" s="75"/>
      <c r="E1" s="75"/>
      <c r="F1" s="75"/>
      <c r="G1" s="75"/>
      <c r="H1" s="75"/>
      <c r="I1" s="75"/>
      <c r="J1" s="75"/>
      <c r="K1" s="75"/>
      <c r="L1" s="75"/>
      <c r="M1" s="75"/>
      <c r="N1" s="75"/>
      <c r="O1" s="75"/>
      <c r="P1" s="75"/>
    </row>
    <row r="2" spans="1:16" s="3" customFormat="1" ht="19.5" thickBot="1" x14ac:dyDescent="0.35">
      <c r="A2" s="76" t="str">
        <f ca="1">"Question CFS #"&amp;RIGHT(CELL("filename",$A$1),LEN(CELL("filename",$A$1))-FIND("]",CELL("filename",$A$1))-5)</f>
        <v>Question CFS #3</v>
      </c>
      <c r="B2" s="122"/>
      <c r="C2" s="77"/>
      <c r="D2" s="78"/>
      <c r="E2" s="78"/>
      <c r="F2" s="78"/>
      <c r="G2" s="78"/>
      <c r="H2" s="78"/>
      <c r="I2" s="78"/>
      <c r="J2" s="78"/>
      <c r="K2" s="78"/>
      <c r="L2" s="78"/>
      <c r="M2" s="78"/>
      <c r="N2" s="78"/>
      <c r="O2" s="78"/>
      <c r="P2" s="78"/>
    </row>
    <row r="3" spans="1:16" ht="13.5" thickTop="1" x14ac:dyDescent="0.2"/>
    <row r="4" spans="1:16" x14ac:dyDescent="0.2">
      <c r="B4" s="82" t="s">
        <v>568</v>
      </c>
    </row>
    <row r="7" spans="1:16" s="51" customFormat="1" ht="15" x14ac:dyDescent="0.25">
      <c r="A7" s="51" t="s">
        <v>107</v>
      </c>
      <c r="C7" s="79" t="s">
        <v>544</v>
      </c>
      <c r="D7" s="79" t="s">
        <v>545</v>
      </c>
    </row>
    <row r="8" spans="1:16" x14ac:dyDescent="0.2">
      <c r="B8" t="s">
        <v>8</v>
      </c>
      <c r="C8" s="39">
        <v>3.4</v>
      </c>
      <c r="D8" s="50"/>
    </row>
    <row r="9" spans="1:16" x14ac:dyDescent="0.2">
      <c r="B9" t="s">
        <v>56</v>
      </c>
      <c r="C9" s="124">
        <v>114.8</v>
      </c>
      <c r="D9" s="50"/>
    </row>
    <row r="10" spans="1:16" x14ac:dyDescent="0.2">
      <c r="B10" t="s">
        <v>108</v>
      </c>
      <c r="C10" s="124">
        <v>60.5</v>
      </c>
      <c r="D10" s="50"/>
    </row>
    <row r="11" spans="1:16" x14ac:dyDescent="0.2">
      <c r="B11" t="s">
        <v>557</v>
      </c>
      <c r="C11" s="124">
        <v>277.89999999999998</v>
      </c>
      <c r="D11" s="50"/>
    </row>
    <row r="12" spans="1:16" x14ac:dyDescent="0.2">
      <c r="B12" s="28" t="s">
        <v>37</v>
      </c>
      <c r="C12" s="28">
        <f>SUM(C8:C11)</f>
        <v>456.59999999999997</v>
      </c>
      <c r="D12" s="50"/>
    </row>
    <row r="13" spans="1:16" x14ac:dyDescent="0.2">
      <c r="B13"/>
      <c r="C13"/>
    </row>
    <row r="14" spans="1:16" x14ac:dyDescent="0.2">
      <c r="B14" t="s">
        <v>569</v>
      </c>
      <c r="C14" s="39">
        <v>0</v>
      </c>
      <c r="D14" s="50"/>
    </row>
    <row r="15" spans="1:16" x14ac:dyDescent="0.2">
      <c r="B15" t="s">
        <v>58</v>
      </c>
      <c r="C15" s="124">
        <v>68.7</v>
      </c>
      <c r="D15" s="50"/>
    </row>
    <row r="16" spans="1:16" x14ac:dyDescent="0.2">
      <c r="B16" t="s">
        <v>14</v>
      </c>
      <c r="C16" s="124">
        <v>98</v>
      </c>
      <c r="D16" s="50"/>
    </row>
    <row r="17" spans="2:4" x14ac:dyDescent="0.2">
      <c r="B17" s="28" t="s">
        <v>74</v>
      </c>
      <c r="C17" s="28">
        <f>SUM(C14:C16)</f>
        <v>166.7</v>
      </c>
      <c r="D17" s="50"/>
    </row>
    <row r="18" spans="2:4" x14ac:dyDescent="0.2">
      <c r="B18"/>
      <c r="C18"/>
    </row>
    <row r="19" spans="2:4" x14ac:dyDescent="0.2">
      <c r="B19" t="s">
        <v>570</v>
      </c>
      <c r="C19" s="39">
        <v>42</v>
      </c>
      <c r="D19" s="50"/>
    </row>
    <row r="20" spans="2:4" x14ac:dyDescent="0.2">
      <c r="B20" t="s">
        <v>10</v>
      </c>
      <c r="C20">
        <v>247.89999999999998</v>
      </c>
      <c r="D20" s="50"/>
    </row>
    <row r="21" spans="2:4" x14ac:dyDescent="0.2">
      <c r="B21" s="28" t="s">
        <v>75</v>
      </c>
      <c r="C21" s="28">
        <f>SUM(C19:C20)</f>
        <v>289.89999999999998</v>
      </c>
      <c r="D21" s="50"/>
    </row>
    <row r="22" spans="2:4" x14ac:dyDescent="0.2">
      <c r="B22"/>
      <c r="C22"/>
    </row>
    <row r="23" spans="2:4" x14ac:dyDescent="0.2">
      <c r="B23" s="28" t="s">
        <v>76</v>
      </c>
      <c r="C23" s="28">
        <f>SUM(C17,C21)</f>
        <v>456.59999999999997</v>
      </c>
      <c r="D23" s="50"/>
    </row>
    <row r="24" spans="2:4" customFormat="1" x14ac:dyDescent="0.2"/>
    <row r="25" spans="2:4" customFormat="1" x14ac:dyDescent="0.2"/>
    <row r="26" spans="2:4" customFormat="1" x14ac:dyDescent="0.2"/>
    <row r="27" spans="2:4" customFormat="1" x14ac:dyDescent="0.2"/>
    <row r="28" spans="2:4" customFormat="1" x14ac:dyDescent="0.2"/>
    <row r="29" spans="2:4" customFormat="1" x14ac:dyDescent="0.2"/>
    <row r="30" spans="2:4" customFormat="1" x14ac:dyDescent="0.2"/>
    <row r="31" spans="2:4" customFormat="1" x14ac:dyDescent="0.2"/>
    <row r="32" spans="2:4"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S159"/>
  <sheetViews>
    <sheetView showGridLines="0" tabSelected="1" zoomScaleNormal="100" workbookViewId="0">
      <pane ySplit="2" topLeftCell="A12" activePane="bottomLeft" state="frozen"/>
      <selection pane="bottomLeft" activeCell="K34" sqref="K34"/>
    </sheetView>
  </sheetViews>
  <sheetFormatPr defaultColWidth="9.140625" defaultRowHeight="12.75" x14ac:dyDescent="0.2"/>
  <cols>
    <col min="1" max="1" width="1.7109375" style="47" customWidth="1"/>
    <col min="2" max="2" width="39" style="47" bestFit="1" customWidth="1"/>
    <col min="3" max="3" width="10.7109375" style="47" bestFit="1" customWidth="1"/>
    <col min="4" max="4" width="10.140625" style="47" bestFit="1" customWidth="1"/>
    <col min="5" max="5" width="2.5703125" style="47" bestFit="1" customWidth="1"/>
    <col min="6" max="6" width="5.7109375" style="47" bestFit="1" customWidth="1"/>
    <col min="7" max="10" width="5.7109375" style="47" customWidth="1"/>
    <col min="11" max="11" width="5.85546875" style="47" customWidth="1"/>
    <col min="12" max="12" width="24.5703125" style="47" bestFit="1" customWidth="1"/>
    <col min="13" max="14" width="9.140625" style="47"/>
    <col min="15" max="15" width="9.5703125" style="47" bestFit="1" customWidth="1"/>
    <col min="16" max="16" width="10.140625" style="47" bestFit="1" customWidth="1"/>
    <col min="17" max="17" width="9.5703125" style="47" bestFit="1" customWidth="1"/>
    <col min="18" max="18" width="9.140625" style="47"/>
    <col min="19" max="19" width="9.5703125" style="47" bestFit="1" customWidth="1"/>
    <col min="20" max="20" width="9.140625" style="47"/>
    <col min="21" max="21" width="9.5703125" style="47" bestFit="1" customWidth="1"/>
    <col min="22" max="22" width="10.140625" style="47" bestFit="1" customWidth="1"/>
    <col min="23" max="16384" width="9.140625" style="47"/>
  </cols>
  <sheetData>
    <row r="1" spans="1:19" s="3" customFormat="1" ht="30" x14ac:dyDescent="0.45">
      <c r="A1" s="9" t="s">
        <v>538</v>
      </c>
      <c r="B1" s="121"/>
      <c r="C1" s="74"/>
      <c r="D1" s="75"/>
      <c r="E1" s="75"/>
      <c r="F1" s="75"/>
      <c r="G1" s="75"/>
      <c r="H1" s="75"/>
      <c r="I1" s="75"/>
      <c r="J1" s="75"/>
      <c r="K1" s="75"/>
      <c r="L1" s="75"/>
      <c r="M1" s="75"/>
      <c r="N1" s="75"/>
      <c r="O1" s="75"/>
      <c r="P1" s="75"/>
      <c r="Q1" s="75"/>
      <c r="R1" s="75"/>
      <c r="S1" s="75"/>
    </row>
    <row r="2" spans="1:19" s="3" customFormat="1" ht="19.5" thickBot="1" x14ac:dyDescent="0.35">
      <c r="A2" s="76" t="str">
        <f ca="1">"Question CFS #"&amp;RIGHT(CELL("filename",$A$1),LEN(CELL("filename",$A$1))-FIND("]",CELL("filename",$A$1))-5)</f>
        <v>Question CFS #4</v>
      </c>
      <c r="B2" s="122"/>
      <c r="C2" s="77"/>
      <c r="D2" s="78"/>
      <c r="E2" s="78"/>
      <c r="F2" s="78"/>
      <c r="G2" s="78"/>
      <c r="H2" s="78"/>
      <c r="I2" s="78"/>
      <c r="J2" s="78"/>
      <c r="K2" s="78"/>
      <c r="L2" s="78"/>
      <c r="M2" s="78"/>
      <c r="N2" s="78"/>
      <c r="O2" s="78"/>
      <c r="P2" s="78"/>
      <c r="Q2" s="78"/>
      <c r="R2" s="78"/>
      <c r="S2" s="78"/>
    </row>
    <row r="3" spans="1:19" ht="13.5" thickTop="1" x14ac:dyDescent="0.2"/>
    <row r="4" spans="1:19" x14ac:dyDescent="0.2">
      <c r="B4" s="57" t="s">
        <v>571</v>
      </c>
    </row>
    <row r="5" spans="1:19" x14ac:dyDescent="0.2">
      <c r="M5" s="70" t="s">
        <v>219</v>
      </c>
      <c r="N5" s="70" t="s">
        <v>218</v>
      </c>
    </row>
    <row r="6" spans="1:19" s="57" customFormat="1" ht="15" x14ac:dyDescent="0.25">
      <c r="A6" s="67"/>
      <c r="B6" s="57" t="s">
        <v>140</v>
      </c>
      <c r="C6" s="79" t="s">
        <v>219</v>
      </c>
      <c r="D6" s="79" t="s">
        <v>218</v>
      </c>
      <c r="E6" s="79"/>
      <c r="K6" s="57" t="s">
        <v>313</v>
      </c>
      <c r="M6" s="57">
        <f>SUM(C21:C23)-SUM(C28:C29)</f>
        <v>80</v>
      </c>
      <c r="N6" s="57">
        <f>SUM(D21:D23)-SUM(D28:D29)</f>
        <v>108</v>
      </c>
    </row>
    <row r="7" spans="1:19" x14ac:dyDescent="0.2">
      <c r="A7" s="91"/>
      <c r="B7" s="47" t="s">
        <v>25</v>
      </c>
      <c r="D7" s="39">
        <v>1000</v>
      </c>
      <c r="E7" s="39"/>
    </row>
    <row r="8" spans="1:19" x14ac:dyDescent="0.2">
      <c r="B8" s="47" t="s">
        <v>303</v>
      </c>
      <c r="D8" s="39">
        <v>500</v>
      </c>
      <c r="E8" s="39"/>
      <c r="K8" s="57" t="s">
        <v>657</v>
      </c>
      <c r="L8" s="57"/>
      <c r="M8" s="57">
        <f>C25</f>
        <v>180</v>
      </c>
    </row>
    <row r="9" spans="1:19" x14ac:dyDescent="0.2">
      <c r="B9" s="47" t="s">
        <v>388</v>
      </c>
      <c r="D9" s="39">
        <v>60</v>
      </c>
      <c r="E9" s="47" t="s">
        <v>647</v>
      </c>
      <c r="K9" s="140" t="s">
        <v>649</v>
      </c>
      <c r="M9" s="47">
        <f>M11-M8+M10</f>
        <v>40</v>
      </c>
    </row>
    <row r="10" spans="1:19" s="57" customFormat="1" x14ac:dyDescent="0.2">
      <c r="B10" s="57" t="s">
        <v>27</v>
      </c>
      <c r="D10" s="57">
        <f>D7-D8-D9</f>
        <v>440</v>
      </c>
      <c r="K10" s="140" t="s">
        <v>388</v>
      </c>
      <c r="M10" s="47">
        <f>D9</f>
        <v>60</v>
      </c>
    </row>
    <row r="11" spans="1:19" s="87" customFormat="1" x14ac:dyDescent="0.2">
      <c r="B11" s="47" t="s">
        <v>66</v>
      </c>
      <c r="C11" s="47"/>
      <c r="D11" s="39">
        <v>150</v>
      </c>
      <c r="K11" s="57" t="s">
        <v>658</v>
      </c>
      <c r="M11" s="57">
        <f>D25</f>
        <v>160</v>
      </c>
      <c r="N11" s="47"/>
    </row>
    <row r="12" spans="1:19" x14ac:dyDescent="0.2">
      <c r="B12" s="47" t="s">
        <v>415</v>
      </c>
      <c r="D12" s="39">
        <v>10</v>
      </c>
      <c r="E12" s="47" t="s">
        <v>647</v>
      </c>
      <c r="K12" s="87"/>
      <c r="L12" s="87"/>
      <c r="M12" s="87"/>
    </row>
    <row r="13" spans="1:19" s="57" customFormat="1" x14ac:dyDescent="0.2">
      <c r="B13" s="57" t="s">
        <v>29</v>
      </c>
      <c r="D13" s="57">
        <f>D10-D11-D12</f>
        <v>280</v>
      </c>
      <c r="K13" s="57" t="s">
        <v>659</v>
      </c>
      <c r="M13" s="57">
        <f>C26</f>
        <v>60</v>
      </c>
      <c r="N13" s="47"/>
    </row>
    <row r="14" spans="1:19" x14ac:dyDescent="0.2">
      <c r="B14" s="47" t="s">
        <v>30</v>
      </c>
      <c r="D14" s="39">
        <v>10</v>
      </c>
      <c r="K14" s="140" t="s">
        <v>661</v>
      </c>
      <c r="M14" s="47">
        <f>M16-M13+M15</f>
        <v>0</v>
      </c>
    </row>
    <row r="15" spans="1:19" s="57" customFormat="1" x14ac:dyDescent="0.2">
      <c r="B15" s="57" t="s">
        <v>572</v>
      </c>
      <c r="D15" s="57">
        <f>D13-D14</f>
        <v>270</v>
      </c>
      <c r="K15" s="140" t="s">
        <v>415</v>
      </c>
      <c r="M15" s="47">
        <f>D12</f>
        <v>10</v>
      </c>
      <c r="N15" s="47"/>
    </row>
    <row r="16" spans="1:19" s="57" customFormat="1" x14ac:dyDescent="0.2">
      <c r="B16" s="47" t="s">
        <v>573</v>
      </c>
      <c r="C16" s="47"/>
      <c r="D16" s="39">
        <v>81</v>
      </c>
      <c r="K16" s="57" t="s">
        <v>660</v>
      </c>
      <c r="L16" s="87"/>
      <c r="M16" s="57">
        <f>D26</f>
        <v>50</v>
      </c>
    </row>
    <row r="17" spans="2:14" s="57" customFormat="1" x14ac:dyDescent="0.2">
      <c r="B17" s="57" t="s">
        <v>44</v>
      </c>
      <c r="D17" s="57">
        <f>D15-D16</f>
        <v>189</v>
      </c>
      <c r="E17" s="140" t="s">
        <v>647</v>
      </c>
      <c r="N17" s="47"/>
    </row>
    <row r="18" spans="2:14" x14ac:dyDescent="0.2">
      <c r="K18" s="57" t="s">
        <v>662</v>
      </c>
      <c r="L18" s="57"/>
      <c r="M18" s="57">
        <f>C37</f>
        <v>85</v>
      </c>
      <c r="N18" s="57"/>
    </row>
    <row r="19" spans="2:14" s="57" customFormat="1" ht="15" x14ac:dyDescent="0.25">
      <c r="B19" s="57" t="s">
        <v>107</v>
      </c>
      <c r="C19" s="79" t="s">
        <v>219</v>
      </c>
      <c r="D19" s="79" t="s">
        <v>218</v>
      </c>
      <c r="E19" s="79"/>
      <c r="K19" s="140" t="s">
        <v>44</v>
      </c>
      <c r="L19" s="47"/>
      <c r="M19" s="47">
        <f>D17</f>
        <v>189</v>
      </c>
    </row>
    <row r="20" spans="2:14" s="87" customFormat="1" x14ac:dyDescent="0.2">
      <c r="B20" s="47" t="s">
        <v>8</v>
      </c>
      <c r="C20" s="39">
        <v>30</v>
      </c>
      <c r="D20" s="39">
        <v>50</v>
      </c>
      <c r="E20" s="39"/>
      <c r="K20" s="140" t="s">
        <v>45</v>
      </c>
      <c r="L20" s="57"/>
      <c r="M20" s="47">
        <f>M18+M19-M21</f>
        <v>174</v>
      </c>
      <c r="N20" s="57"/>
    </row>
    <row r="21" spans="2:14" x14ac:dyDescent="0.2">
      <c r="B21" s="47" t="s">
        <v>108</v>
      </c>
      <c r="C21" s="39">
        <v>60</v>
      </c>
      <c r="D21" s="39">
        <v>80</v>
      </c>
      <c r="E21" s="140" t="s">
        <v>647</v>
      </c>
      <c r="F21" s="47">
        <f>-(D21-C21)</f>
        <v>-20</v>
      </c>
      <c r="G21" s="57" t="s">
        <v>313</v>
      </c>
      <c r="K21" s="57" t="s">
        <v>663</v>
      </c>
      <c r="L21" s="87"/>
      <c r="M21" s="57">
        <f>D37</f>
        <v>100</v>
      </c>
    </row>
    <row r="22" spans="2:14" s="87" customFormat="1" x14ac:dyDescent="0.2">
      <c r="B22" s="47" t="s">
        <v>56</v>
      </c>
      <c r="C22" s="39">
        <v>100</v>
      </c>
      <c r="D22" s="39">
        <v>120</v>
      </c>
      <c r="E22" s="140" t="s">
        <v>647</v>
      </c>
      <c r="F22" s="47">
        <f>-(D22-C22)</f>
        <v>-20</v>
      </c>
      <c r="G22" s="57" t="s">
        <v>313</v>
      </c>
      <c r="H22" s="47"/>
      <c r="I22" s="47"/>
      <c r="J22" s="47"/>
      <c r="N22" s="57"/>
    </row>
    <row r="23" spans="2:14" x14ac:dyDescent="0.2">
      <c r="B23" s="47" t="s">
        <v>59</v>
      </c>
      <c r="C23" s="39">
        <v>10</v>
      </c>
      <c r="D23" s="39">
        <v>10</v>
      </c>
      <c r="E23" s="140" t="s">
        <v>647</v>
      </c>
      <c r="F23" s="47">
        <f>-(D23-C23)</f>
        <v>0</v>
      </c>
      <c r="G23" s="57" t="s">
        <v>313</v>
      </c>
      <c r="N23" s="87"/>
    </row>
    <row r="24" spans="2:14" s="57" customFormat="1" x14ac:dyDescent="0.2">
      <c r="B24" s="57" t="s">
        <v>69</v>
      </c>
      <c r="C24" s="57">
        <f>SUM(C20:C23)</f>
        <v>200</v>
      </c>
      <c r="D24" s="57">
        <f t="shared" ref="D24" si="0">SUM(D20:D23)</f>
        <v>260</v>
      </c>
      <c r="K24" s="47"/>
      <c r="L24" s="47" t="s">
        <v>44</v>
      </c>
      <c r="M24" s="140">
        <f>D17</f>
        <v>189</v>
      </c>
      <c r="N24" s="47"/>
    </row>
    <row r="25" spans="2:14" x14ac:dyDescent="0.2">
      <c r="B25" s="47" t="s">
        <v>57</v>
      </c>
      <c r="C25" s="39">
        <v>180</v>
      </c>
      <c r="D25" s="39">
        <v>160</v>
      </c>
      <c r="E25" s="39" t="s">
        <v>647</v>
      </c>
      <c r="F25" s="47">
        <f>-(D25-C25)-D12</f>
        <v>10</v>
      </c>
      <c r="K25" s="57"/>
      <c r="L25" s="47" t="s">
        <v>388</v>
      </c>
      <c r="M25" s="140">
        <f>M10</f>
        <v>60</v>
      </c>
      <c r="N25" s="87"/>
    </row>
    <row r="26" spans="2:14" x14ac:dyDescent="0.2">
      <c r="B26" s="47" t="s">
        <v>433</v>
      </c>
      <c r="C26" s="39">
        <v>60</v>
      </c>
      <c r="D26" s="39">
        <v>50</v>
      </c>
      <c r="E26" s="140" t="s">
        <v>647</v>
      </c>
      <c r="F26" s="47">
        <f>-(D26-C26)</f>
        <v>10</v>
      </c>
      <c r="G26" s="57"/>
      <c r="K26" s="57"/>
      <c r="L26" s="47" t="s">
        <v>415</v>
      </c>
      <c r="M26" s="140">
        <f>D12</f>
        <v>10</v>
      </c>
    </row>
    <row r="27" spans="2:14" s="57" customFormat="1" x14ac:dyDescent="0.2">
      <c r="B27" s="57" t="s">
        <v>37</v>
      </c>
      <c r="C27" s="57">
        <f>SUM(C24:C26)</f>
        <v>440</v>
      </c>
      <c r="D27" s="57">
        <f t="shared" ref="D27" si="1">SUM(D24:D26)</f>
        <v>470</v>
      </c>
      <c r="K27" s="47"/>
      <c r="L27" s="47" t="s">
        <v>656</v>
      </c>
      <c r="M27" s="47">
        <f>-(N6-M6)</f>
        <v>-28</v>
      </c>
    </row>
    <row r="28" spans="2:14" x14ac:dyDescent="0.2">
      <c r="B28" s="47" t="s">
        <v>58</v>
      </c>
      <c r="C28" s="39">
        <v>80</v>
      </c>
      <c r="D28" s="39">
        <v>90</v>
      </c>
      <c r="E28" s="39" t="s">
        <v>647</v>
      </c>
      <c r="F28" s="47">
        <f>(D28-C28)</f>
        <v>10</v>
      </c>
      <c r="G28" s="57" t="s">
        <v>313</v>
      </c>
      <c r="L28" s="47" t="s">
        <v>665</v>
      </c>
      <c r="M28" s="47">
        <f>F33</f>
        <v>3</v>
      </c>
    </row>
    <row r="29" spans="2:14" x14ac:dyDescent="0.2">
      <c r="B29" s="47" t="s">
        <v>574</v>
      </c>
      <c r="C29" s="39">
        <v>10</v>
      </c>
      <c r="D29" s="39">
        <v>12</v>
      </c>
      <c r="E29" s="39" t="s">
        <v>647</v>
      </c>
      <c r="F29" s="47">
        <f>(D29-C29)</f>
        <v>2</v>
      </c>
      <c r="G29" s="57" t="s">
        <v>313</v>
      </c>
      <c r="K29" s="57" t="s">
        <v>646</v>
      </c>
      <c r="M29" s="57">
        <f>SUM(M24:M28)</f>
        <v>234</v>
      </c>
    </row>
    <row r="30" spans="2:14" x14ac:dyDescent="0.2">
      <c r="B30" s="47" t="s">
        <v>330</v>
      </c>
      <c r="C30" s="39">
        <v>60</v>
      </c>
      <c r="D30" s="39">
        <v>60</v>
      </c>
      <c r="E30" s="39" t="s">
        <v>647</v>
      </c>
      <c r="F30" s="47">
        <f>(D30-C30)</f>
        <v>0</v>
      </c>
      <c r="K30" s="57"/>
      <c r="L30" s="57"/>
      <c r="M30" s="57"/>
      <c r="N30" s="57"/>
    </row>
    <row r="31" spans="2:14" s="57" customFormat="1" x14ac:dyDescent="0.2">
      <c r="B31" s="57" t="s">
        <v>71</v>
      </c>
      <c r="C31" s="57">
        <f>SUM(C28:C30)</f>
        <v>150</v>
      </c>
      <c r="D31" s="57">
        <f t="shared" ref="D31" si="2">SUM(D28:D30)</f>
        <v>162</v>
      </c>
      <c r="L31" s="47" t="s">
        <v>649</v>
      </c>
      <c r="M31" s="140">
        <f>-M9</f>
        <v>-40</v>
      </c>
      <c r="N31" s="47"/>
    </row>
    <row r="32" spans="2:14" x14ac:dyDescent="0.2">
      <c r="B32" s="47" t="s">
        <v>72</v>
      </c>
      <c r="C32" s="39">
        <v>100</v>
      </c>
      <c r="D32" s="39">
        <v>100</v>
      </c>
      <c r="E32" s="39" t="s">
        <v>647</v>
      </c>
      <c r="F32" s="47">
        <f>(D32-C32)</f>
        <v>0</v>
      </c>
      <c r="J32" s="57"/>
      <c r="K32" s="57" t="s">
        <v>648</v>
      </c>
      <c r="M32" s="57">
        <f>SUM(M31:M31)</f>
        <v>-40</v>
      </c>
    </row>
    <row r="33" spans="1:15" x14ac:dyDescent="0.2">
      <c r="B33" s="47" t="s">
        <v>73</v>
      </c>
      <c r="C33" s="39">
        <v>5</v>
      </c>
      <c r="D33" s="39">
        <v>8</v>
      </c>
      <c r="E33" s="39" t="s">
        <v>647</v>
      </c>
      <c r="F33" s="47">
        <f>(D33-C33)</f>
        <v>3</v>
      </c>
      <c r="N33" s="57"/>
      <c r="O33" s="57"/>
    </row>
    <row r="34" spans="1:15" s="57" customFormat="1" x14ac:dyDescent="0.2">
      <c r="B34" s="57" t="s">
        <v>74</v>
      </c>
      <c r="C34" s="57">
        <f>SUM(C31:C33)</f>
        <v>255</v>
      </c>
      <c r="D34" s="57">
        <f t="shared" ref="D34" si="3">SUM(D31:D33)</f>
        <v>270</v>
      </c>
      <c r="J34" s="47"/>
      <c r="K34" s="47"/>
      <c r="L34" s="47" t="s">
        <v>650</v>
      </c>
      <c r="M34" s="140">
        <f>F30</f>
        <v>0</v>
      </c>
      <c r="N34" s="47"/>
      <c r="O34" s="47"/>
    </row>
    <row r="35" spans="1:15" x14ac:dyDescent="0.2">
      <c r="B35" s="47" t="s">
        <v>9</v>
      </c>
      <c r="C35" s="39">
        <v>20</v>
      </c>
      <c r="D35" s="39">
        <v>20</v>
      </c>
      <c r="E35" s="39"/>
      <c r="F35" s="47">
        <f>(D35-C35)</f>
        <v>0</v>
      </c>
      <c r="K35" s="57"/>
      <c r="L35" s="47" t="s">
        <v>664</v>
      </c>
      <c r="M35" s="140">
        <f>F32</f>
        <v>0</v>
      </c>
    </row>
    <row r="36" spans="1:15" x14ac:dyDescent="0.2">
      <c r="B36" s="47" t="s">
        <v>525</v>
      </c>
      <c r="C36" s="39">
        <v>80</v>
      </c>
      <c r="D36" s="39">
        <v>80</v>
      </c>
      <c r="E36" s="39"/>
      <c r="F36" s="47">
        <f>(D36-C36)</f>
        <v>0</v>
      </c>
      <c r="J36" s="57"/>
      <c r="K36" s="87"/>
      <c r="L36" s="47" t="s">
        <v>652</v>
      </c>
      <c r="M36" s="140">
        <f>SUM(F35:F36)</f>
        <v>0</v>
      </c>
      <c r="N36" s="57"/>
    </row>
    <row r="37" spans="1:15" x14ac:dyDescent="0.2">
      <c r="B37" s="47" t="s">
        <v>10</v>
      </c>
      <c r="C37" s="39">
        <v>85</v>
      </c>
      <c r="D37" s="39">
        <v>100</v>
      </c>
      <c r="E37" s="39"/>
      <c r="F37" s="47">
        <f>(D37-C37)</f>
        <v>15</v>
      </c>
      <c r="J37" s="57"/>
      <c r="L37" s="47" t="s">
        <v>45</v>
      </c>
      <c r="M37" s="140">
        <f>-M20</f>
        <v>-174</v>
      </c>
      <c r="O37" s="57"/>
    </row>
    <row r="38" spans="1:15" s="57" customFormat="1" x14ac:dyDescent="0.2">
      <c r="B38" s="57" t="s">
        <v>75</v>
      </c>
      <c r="C38" s="57">
        <f>SUM(C35:C37)</f>
        <v>185</v>
      </c>
      <c r="D38" s="57">
        <f t="shared" ref="D38" si="4">SUM(D35:D37)</f>
        <v>200</v>
      </c>
      <c r="J38" s="47"/>
      <c r="K38" s="57" t="s">
        <v>651</v>
      </c>
      <c r="L38" s="87"/>
      <c r="M38" s="57">
        <f>SUM(M36:M37)</f>
        <v>-174</v>
      </c>
      <c r="N38" s="47"/>
    </row>
    <row r="39" spans="1:15" s="57" customFormat="1" x14ac:dyDescent="0.2">
      <c r="B39" s="57" t="s">
        <v>38</v>
      </c>
      <c r="C39" s="57">
        <f>SUM(C34,C38)</f>
        <v>440</v>
      </c>
      <c r="D39" s="57">
        <f t="shared" ref="D39" si="5">SUM(D34,D38)</f>
        <v>470</v>
      </c>
      <c r="J39"/>
      <c r="K39" s="47"/>
      <c r="L39" s="47"/>
      <c r="M39" s="47"/>
      <c r="N39" s="47"/>
      <c r="O39" s="47"/>
    </row>
    <row r="40" spans="1:15" x14ac:dyDescent="0.2">
      <c r="J40"/>
      <c r="K40" s="57"/>
      <c r="L40" s="57"/>
      <c r="M40" s="57"/>
      <c r="N40" s="57"/>
      <c r="O40"/>
    </row>
    <row r="41" spans="1:15" customFormat="1" ht="15" x14ac:dyDescent="0.25">
      <c r="A41" s="51" t="s">
        <v>143</v>
      </c>
      <c r="K41" s="57" t="s">
        <v>653</v>
      </c>
      <c r="L41" s="57"/>
      <c r="M41" s="57">
        <f>C20</f>
        <v>30</v>
      </c>
      <c r="N41" s="57"/>
    </row>
    <row r="42" spans="1:15" customFormat="1" x14ac:dyDescent="0.2">
      <c r="K42" s="47" t="s">
        <v>41</v>
      </c>
      <c r="L42" s="47"/>
      <c r="M42" s="47">
        <f>M29+M32+M38</f>
        <v>20</v>
      </c>
      <c r="N42" s="47"/>
    </row>
    <row r="43" spans="1:15" customFormat="1" x14ac:dyDescent="0.2">
      <c r="K43" s="57" t="s">
        <v>654</v>
      </c>
      <c r="L43" s="57"/>
      <c r="M43" s="57">
        <f>SUM(M41:M42)</f>
        <v>50</v>
      </c>
    </row>
    <row r="44" spans="1:15" customFormat="1" x14ac:dyDescent="0.2">
      <c r="K44" s="47" t="s">
        <v>655</v>
      </c>
      <c r="L44" s="47"/>
      <c r="M44" s="47" t="str">
        <f>IF(M43-D20=0,"","CHECK")</f>
        <v/>
      </c>
    </row>
    <row r="45" spans="1:15" customFormat="1" x14ac:dyDescent="0.2"/>
    <row r="46" spans="1:15" customFormat="1" x14ac:dyDescent="0.2"/>
    <row r="47" spans="1:15" customFormat="1" x14ac:dyDescent="0.2"/>
    <row r="48" spans="1:15"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spans="10:15" customFormat="1" x14ac:dyDescent="0.2"/>
    <row r="146" spans="10:15" customFormat="1" x14ac:dyDescent="0.2"/>
    <row r="147" spans="10:15" customFormat="1" x14ac:dyDescent="0.2"/>
    <row r="148" spans="10:15" customFormat="1" x14ac:dyDescent="0.2"/>
    <row r="149" spans="10:15" customFormat="1" x14ac:dyDescent="0.2"/>
    <row r="150" spans="10:15" customFormat="1" x14ac:dyDescent="0.2"/>
    <row r="151" spans="10:15" customFormat="1" x14ac:dyDescent="0.2"/>
    <row r="152" spans="10:15" customFormat="1" x14ac:dyDescent="0.2"/>
    <row r="153" spans="10:15" customFormat="1" x14ac:dyDescent="0.2"/>
    <row r="154" spans="10:15" customFormat="1" x14ac:dyDescent="0.2"/>
    <row r="155" spans="10:15" customFormat="1" x14ac:dyDescent="0.2"/>
    <row r="156" spans="10:15" customFormat="1" x14ac:dyDescent="0.2">
      <c r="J156" s="47"/>
    </row>
    <row r="157" spans="10:15" customFormat="1" x14ac:dyDescent="0.2">
      <c r="J157" s="47"/>
      <c r="K157" s="47"/>
      <c r="L157" s="47"/>
      <c r="M157" s="47"/>
      <c r="O157" s="47"/>
    </row>
    <row r="158" spans="10:15" x14ac:dyDescent="0.2">
      <c r="N158"/>
    </row>
    <row r="159" spans="10:15" x14ac:dyDescent="0.2">
      <c r="N159"/>
    </row>
  </sheetData>
  <pageMargins left="0.75" right="0.75" top="1" bottom="1" header="0.5" footer="0.5"/>
  <pageSetup orientation="portrait" r:id="rId1"/>
  <headerFooter alignWithMargins="0">
    <oddFooter>&amp;L&amp;8© AMT Training 2008 - 2016</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P128"/>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9"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538</v>
      </c>
      <c r="B1" s="121"/>
      <c r="C1" s="74"/>
      <c r="D1" s="75"/>
      <c r="E1" s="75"/>
      <c r="F1" s="75"/>
      <c r="G1" s="75"/>
      <c r="H1" s="75"/>
      <c r="I1" s="75"/>
      <c r="J1" s="75"/>
      <c r="K1" s="75"/>
      <c r="L1" s="75"/>
      <c r="M1" s="75"/>
      <c r="N1" s="75"/>
      <c r="O1" s="75"/>
      <c r="P1" s="75"/>
    </row>
    <row r="2" spans="1:16" s="3" customFormat="1" ht="19.5" thickBot="1" x14ac:dyDescent="0.35">
      <c r="A2" s="76" t="str">
        <f ca="1">"Question CFS #"&amp;RIGHT(CELL("filename",$A$1),LEN(CELL("filename",$A$1))-FIND("]",CELL("filename",$A$1))-5)</f>
        <v>Question CFS #5</v>
      </c>
      <c r="B2" s="122"/>
      <c r="C2" s="77"/>
      <c r="D2" s="78"/>
      <c r="E2" s="78"/>
      <c r="F2" s="78"/>
      <c r="G2" s="78"/>
      <c r="H2" s="78"/>
      <c r="I2" s="78"/>
      <c r="J2" s="78"/>
      <c r="K2" s="78"/>
      <c r="L2" s="78"/>
      <c r="M2" s="78"/>
      <c r="N2" s="78"/>
      <c r="O2" s="78"/>
      <c r="P2" s="78"/>
    </row>
    <row r="3" spans="1:16" ht="13.5" thickTop="1" x14ac:dyDescent="0.2"/>
    <row r="4" spans="1:16" x14ac:dyDescent="0.2">
      <c r="B4" s="57" t="s">
        <v>575</v>
      </c>
    </row>
    <row r="6" spans="1:16" s="57" customFormat="1" ht="15" x14ac:dyDescent="0.25">
      <c r="A6" s="67"/>
      <c r="B6" s="57" t="s">
        <v>140</v>
      </c>
      <c r="C6" s="79" t="s">
        <v>219</v>
      </c>
      <c r="D6" s="79" t="s">
        <v>218</v>
      </c>
    </row>
    <row r="7" spans="1:16" x14ac:dyDescent="0.2">
      <c r="A7" s="91"/>
      <c r="B7" s="47" t="s">
        <v>25</v>
      </c>
      <c r="D7" s="39">
        <v>1000</v>
      </c>
    </row>
    <row r="8" spans="1:16" x14ac:dyDescent="0.2">
      <c r="B8" s="47" t="s">
        <v>303</v>
      </c>
      <c r="D8" s="39">
        <v>500</v>
      </c>
    </row>
    <row r="9" spans="1:16" x14ac:dyDescent="0.2">
      <c r="B9" s="47" t="s">
        <v>388</v>
      </c>
      <c r="D9" s="39">
        <v>60</v>
      </c>
    </row>
    <row r="10" spans="1:16" s="57" customFormat="1" x14ac:dyDescent="0.2">
      <c r="B10" s="57" t="s">
        <v>27</v>
      </c>
      <c r="D10" s="57">
        <f>D7-D8-D9</f>
        <v>440</v>
      </c>
    </row>
    <row r="11" spans="1:16" s="87" customFormat="1" x14ac:dyDescent="0.2">
      <c r="B11" s="47" t="s">
        <v>66</v>
      </c>
      <c r="C11" s="47"/>
      <c r="D11" s="39">
        <v>150</v>
      </c>
    </row>
    <row r="12" spans="1:16" x14ac:dyDescent="0.2">
      <c r="B12" s="47" t="s">
        <v>415</v>
      </c>
      <c r="D12" s="39">
        <v>10</v>
      </c>
    </row>
    <row r="13" spans="1:16" s="57" customFormat="1" x14ac:dyDescent="0.2">
      <c r="B13" s="57" t="s">
        <v>29</v>
      </c>
      <c r="D13" s="57">
        <f>D10-D11-D12</f>
        <v>280</v>
      </c>
    </row>
    <row r="14" spans="1:16" x14ac:dyDescent="0.2">
      <c r="B14" s="47" t="s">
        <v>30</v>
      </c>
      <c r="D14" s="39">
        <v>10</v>
      </c>
    </row>
    <row r="15" spans="1:16" s="57" customFormat="1" x14ac:dyDescent="0.2">
      <c r="B15" s="57" t="s">
        <v>572</v>
      </c>
      <c r="D15" s="57">
        <f>D13-D14</f>
        <v>270</v>
      </c>
    </row>
    <row r="16" spans="1:16" s="57" customFormat="1" x14ac:dyDescent="0.2">
      <c r="B16" s="47" t="s">
        <v>573</v>
      </c>
      <c r="C16" s="47"/>
      <c r="D16" s="39">
        <v>81</v>
      </c>
    </row>
    <row r="17" spans="2:4" s="57" customFormat="1" x14ac:dyDescent="0.2">
      <c r="B17" s="57" t="s">
        <v>44</v>
      </c>
      <c r="D17" s="57">
        <f>D15-D16</f>
        <v>189</v>
      </c>
    </row>
    <row r="19" spans="2:4" s="57" customFormat="1" ht="15" x14ac:dyDescent="0.25">
      <c r="B19" s="57" t="s">
        <v>107</v>
      </c>
      <c r="C19" s="79" t="s">
        <v>219</v>
      </c>
      <c r="D19" s="79" t="s">
        <v>218</v>
      </c>
    </row>
    <row r="20" spans="2:4" s="87" customFormat="1" x14ac:dyDescent="0.2">
      <c r="B20" s="47" t="s">
        <v>8</v>
      </c>
      <c r="C20" s="39">
        <v>30</v>
      </c>
      <c r="D20" s="39">
        <v>50</v>
      </c>
    </row>
    <row r="21" spans="2:4" x14ac:dyDescent="0.2">
      <c r="B21" s="47" t="s">
        <v>108</v>
      </c>
      <c r="C21" s="39">
        <v>60</v>
      </c>
      <c r="D21" s="39">
        <v>80</v>
      </c>
    </row>
    <row r="22" spans="2:4" s="87" customFormat="1" x14ac:dyDescent="0.2">
      <c r="B22" s="47" t="s">
        <v>56</v>
      </c>
      <c r="C22" s="39">
        <v>100</v>
      </c>
      <c r="D22" s="39">
        <v>120</v>
      </c>
    </row>
    <row r="23" spans="2:4" x14ac:dyDescent="0.2">
      <c r="B23" s="47" t="s">
        <v>59</v>
      </c>
      <c r="C23" s="39">
        <v>10</v>
      </c>
      <c r="D23" s="39">
        <v>10</v>
      </c>
    </row>
    <row r="24" spans="2:4" s="57" customFormat="1" x14ac:dyDescent="0.2">
      <c r="B24" s="57" t="s">
        <v>69</v>
      </c>
      <c r="C24" s="57">
        <f>SUM(C20:C23)</f>
        <v>200</v>
      </c>
      <c r="D24" s="57">
        <f t="shared" ref="D24" si="0">SUM(D20:D23)</f>
        <v>260</v>
      </c>
    </row>
    <row r="25" spans="2:4" x14ac:dyDescent="0.2">
      <c r="B25" s="47" t="s">
        <v>57</v>
      </c>
      <c r="C25" s="39">
        <v>180</v>
      </c>
      <c r="D25" s="39">
        <v>160</v>
      </c>
    </row>
    <row r="26" spans="2:4" x14ac:dyDescent="0.2">
      <c r="B26" s="47" t="s">
        <v>433</v>
      </c>
      <c r="C26" s="39">
        <v>60</v>
      </c>
      <c r="D26" s="39">
        <v>50</v>
      </c>
    </row>
    <row r="27" spans="2:4" s="57" customFormat="1" x14ac:dyDescent="0.2">
      <c r="B27" s="57" t="s">
        <v>37</v>
      </c>
      <c r="C27" s="57">
        <f>SUM(C24:C26)</f>
        <v>440</v>
      </c>
      <c r="D27" s="57">
        <f t="shared" ref="D27" si="1">SUM(D24:D26)</f>
        <v>470</v>
      </c>
    </row>
    <row r="28" spans="2:4" x14ac:dyDescent="0.2">
      <c r="B28" s="47" t="s">
        <v>58</v>
      </c>
      <c r="C28" s="39">
        <v>80</v>
      </c>
      <c r="D28" s="39">
        <v>90</v>
      </c>
    </row>
    <row r="29" spans="2:4" x14ac:dyDescent="0.2">
      <c r="B29" s="47" t="s">
        <v>574</v>
      </c>
      <c r="C29" s="39">
        <v>10</v>
      </c>
      <c r="D29" s="39">
        <v>12</v>
      </c>
    </row>
    <row r="30" spans="2:4" x14ac:dyDescent="0.2">
      <c r="B30" s="47" t="s">
        <v>330</v>
      </c>
      <c r="C30" s="39">
        <v>60</v>
      </c>
      <c r="D30" s="39">
        <v>60</v>
      </c>
    </row>
    <row r="31" spans="2:4" s="57" customFormat="1" x14ac:dyDescent="0.2">
      <c r="B31" s="57" t="s">
        <v>71</v>
      </c>
      <c r="C31" s="57">
        <f>SUM(C28:C30)</f>
        <v>150</v>
      </c>
      <c r="D31" s="57">
        <f t="shared" ref="D31" si="2">SUM(D28:D30)</f>
        <v>162</v>
      </c>
    </row>
    <row r="32" spans="2:4" x14ac:dyDescent="0.2">
      <c r="B32" s="47" t="s">
        <v>72</v>
      </c>
      <c r="C32" s="39">
        <v>100</v>
      </c>
      <c r="D32" s="39">
        <v>100</v>
      </c>
    </row>
    <row r="33" spans="1:4" x14ac:dyDescent="0.2">
      <c r="B33" s="47" t="s">
        <v>73</v>
      </c>
      <c r="C33" s="39">
        <v>5</v>
      </c>
      <c r="D33" s="39">
        <v>8</v>
      </c>
    </row>
    <row r="34" spans="1:4" s="57" customFormat="1" x14ac:dyDescent="0.2">
      <c r="B34" s="57" t="s">
        <v>74</v>
      </c>
      <c r="C34" s="57">
        <f>SUM(C31:C33)</f>
        <v>255</v>
      </c>
      <c r="D34" s="57">
        <f t="shared" ref="D34" si="3">SUM(D31:D33)</f>
        <v>270</v>
      </c>
    </row>
    <row r="35" spans="1:4" x14ac:dyDescent="0.2">
      <c r="B35" s="47" t="s">
        <v>9</v>
      </c>
      <c r="C35" s="39">
        <v>20</v>
      </c>
      <c r="D35" s="39">
        <v>20</v>
      </c>
    </row>
    <row r="36" spans="1:4" x14ac:dyDescent="0.2">
      <c r="B36" s="47" t="s">
        <v>525</v>
      </c>
      <c r="C36" s="39">
        <v>80</v>
      </c>
      <c r="D36" s="39">
        <v>80</v>
      </c>
    </row>
    <row r="37" spans="1:4" x14ac:dyDescent="0.2">
      <c r="B37" s="47" t="s">
        <v>10</v>
      </c>
      <c r="C37" s="39">
        <v>85</v>
      </c>
      <c r="D37" s="39">
        <v>100</v>
      </c>
    </row>
    <row r="38" spans="1:4" s="57" customFormat="1" x14ac:dyDescent="0.2">
      <c r="B38" s="57" t="s">
        <v>75</v>
      </c>
      <c r="C38" s="57">
        <f>SUM(C35:C37)</f>
        <v>185</v>
      </c>
      <c r="D38" s="57">
        <f t="shared" ref="D38" si="4">SUM(D35:D37)</f>
        <v>200</v>
      </c>
    </row>
    <row r="39" spans="1:4" s="57" customFormat="1" x14ac:dyDescent="0.2">
      <c r="B39" s="57" t="s">
        <v>38</v>
      </c>
      <c r="C39" s="57">
        <f>SUM(C34,C38)</f>
        <v>440</v>
      </c>
      <c r="D39" s="57">
        <f t="shared" ref="D39" si="5">SUM(D34,D38)</f>
        <v>470</v>
      </c>
    </row>
    <row r="41" spans="1:4" customFormat="1" ht="15" x14ac:dyDescent="0.25">
      <c r="A41" s="51" t="s">
        <v>143</v>
      </c>
    </row>
    <row r="42" spans="1:4" customFormat="1" x14ac:dyDescent="0.2"/>
    <row r="43" spans="1:4" customFormat="1" x14ac:dyDescent="0.2"/>
    <row r="44" spans="1:4" customFormat="1" x14ac:dyDescent="0.2"/>
    <row r="45" spans="1:4" customFormat="1" x14ac:dyDescent="0.2"/>
    <row r="46" spans="1:4" customFormat="1" x14ac:dyDescent="0.2"/>
    <row r="47" spans="1:4" customFormat="1" x14ac:dyDescent="0.2"/>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P159"/>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9"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538</v>
      </c>
      <c r="B1" s="121"/>
      <c r="C1" s="74"/>
      <c r="D1" s="75"/>
      <c r="E1" s="75"/>
      <c r="F1" s="75"/>
      <c r="G1" s="75"/>
      <c r="H1" s="75"/>
      <c r="I1" s="75"/>
      <c r="J1" s="75"/>
      <c r="K1" s="75"/>
      <c r="L1" s="75"/>
      <c r="M1" s="75"/>
      <c r="N1" s="75"/>
      <c r="O1" s="75"/>
      <c r="P1" s="75"/>
    </row>
    <row r="2" spans="1:16" s="3" customFormat="1" ht="19.5" thickBot="1" x14ac:dyDescent="0.35">
      <c r="A2" s="76" t="str">
        <f ca="1">"Question CFS #"&amp;RIGHT(CELL("filename",$A$1),LEN(CELL("filename",$A$1))-FIND("]",CELL("filename",$A$1))-5)</f>
        <v>Question CFS #6</v>
      </c>
      <c r="B2" s="122"/>
      <c r="C2" s="77"/>
      <c r="D2" s="78"/>
      <c r="E2" s="78"/>
      <c r="F2" s="78"/>
      <c r="G2" s="78"/>
      <c r="H2" s="78"/>
      <c r="I2" s="78"/>
      <c r="J2" s="78"/>
      <c r="K2" s="78"/>
      <c r="L2" s="78"/>
      <c r="M2" s="78"/>
      <c r="N2" s="78"/>
      <c r="O2" s="78"/>
      <c r="P2" s="78"/>
    </row>
    <row r="3" spans="1:16" ht="13.5" thickTop="1" x14ac:dyDescent="0.2"/>
    <row r="4" spans="1:16" x14ac:dyDescent="0.2">
      <c r="B4" s="82" t="s">
        <v>576</v>
      </c>
    </row>
    <row r="7" spans="1:16" s="57" customFormat="1" ht="15" x14ac:dyDescent="0.25">
      <c r="A7" s="67"/>
      <c r="B7" s="57" t="s">
        <v>140</v>
      </c>
      <c r="C7" s="88"/>
      <c r="D7" s="79" t="s">
        <v>218</v>
      </c>
    </row>
    <row r="8" spans="1:16" x14ac:dyDescent="0.2">
      <c r="A8" s="91"/>
      <c r="B8" s="47" t="s">
        <v>439</v>
      </c>
      <c r="D8" s="39">
        <v>15000</v>
      </c>
    </row>
    <row r="9" spans="1:16" x14ac:dyDescent="0.2">
      <c r="B9" s="47" t="s">
        <v>26</v>
      </c>
      <c r="D9" s="39">
        <v>3682.4</v>
      </c>
    </row>
    <row r="10" spans="1:16" x14ac:dyDescent="0.2">
      <c r="B10" s="47" t="s">
        <v>388</v>
      </c>
      <c r="D10" s="39">
        <v>550</v>
      </c>
    </row>
    <row r="11" spans="1:16" x14ac:dyDescent="0.2">
      <c r="B11" s="47" t="s">
        <v>415</v>
      </c>
      <c r="D11" s="39">
        <v>517.6</v>
      </c>
    </row>
    <row r="12" spans="1:16" s="87" customFormat="1" x14ac:dyDescent="0.2">
      <c r="B12" s="57" t="s">
        <v>27</v>
      </c>
      <c r="C12" s="57"/>
      <c r="D12" s="57">
        <f>D8-D9-D10-D11</f>
        <v>10250</v>
      </c>
    </row>
    <row r="13" spans="1:16" x14ac:dyDescent="0.2">
      <c r="B13" s="47" t="s">
        <v>66</v>
      </c>
      <c r="D13" s="39">
        <v>7000</v>
      </c>
    </row>
    <row r="14" spans="1:16" s="57" customFormat="1" x14ac:dyDescent="0.2">
      <c r="B14" s="57" t="s">
        <v>29</v>
      </c>
      <c r="D14" s="57">
        <f>D12-D13</f>
        <v>3250</v>
      </c>
    </row>
    <row r="15" spans="1:16" x14ac:dyDescent="0.2">
      <c r="B15" s="47" t="s">
        <v>577</v>
      </c>
      <c r="D15" s="39">
        <v>100</v>
      </c>
    </row>
    <row r="16" spans="1:16" x14ac:dyDescent="0.2">
      <c r="B16" s="47" t="s">
        <v>578</v>
      </c>
      <c r="D16" s="39">
        <v>1240</v>
      </c>
    </row>
    <row r="17" spans="2:4" s="57" customFormat="1" x14ac:dyDescent="0.2">
      <c r="B17" s="57" t="s">
        <v>44</v>
      </c>
      <c r="D17" s="57">
        <f>D14-D15-D16</f>
        <v>1910</v>
      </c>
    </row>
    <row r="19" spans="2:4" s="57" customFormat="1" ht="15" x14ac:dyDescent="0.25">
      <c r="B19" s="57" t="s">
        <v>107</v>
      </c>
      <c r="C19" s="79" t="s">
        <v>219</v>
      </c>
      <c r="D19" s="79" t="str">
        <f>D7</f>
        <v>Year 2</v>
      </c>
    </row>
    <row r="20" spans="2:4" x14ac:dyDescent="0.2">
      <c r="B20" s="47" t="s">
        <v>8</v>
      </c>
      <c r="C20" s="39">
        <v>1322</v>
      </c>
      <c r="D20" s="39">
        <v>3500</v>
      </c>
    </row>
    <row r="21" spans="2:4" s="87" customFormat="1" x14ac:dyDescent="0.2">
      <c r="B21" s="47" t="s">
        <v>579</v>
      </c>
      <c r="C21" s="39">
        <v>221.8</v>
      </c>
      <c r="D21" s="39">
        <v>300</v>
      </c>
    </row>
    <row r="22" spans="2:4" x14ac:dyDescent="0.2">
      <c r="B22" s="47" t="s">
        <v>286</v>
      </c>
      <c r="C22" s="39">
        <v>2541.6999999999998</v>
      </c>
      <c r="D22" s="39">
        <v>2600</v>
      </c>
    </row>
    <row r="23" spans="2:4" x14ac:dyDescent="0.2">
      <c r="B23" s="47" t="s">
        <v>108</v>
      </c>
      <c r="C23" s="39">
        <v>2389.4</v>
      </c>
      <c r="D23" s="39">
        <v>2400</v>
      </c>
    </row>
    <row r="24" spans="2:4" x14ac:dyDescent="0.2">
      <c r="B24" s="47" t="s">
        <v>59</v>
      </c>
      <c r="C24" s="39">
        <v>995.2</v>
      </c>
      <c r="D24" s="39">
        <v>1000</v>
      </c>
    </row>
    <row r="25" spans="2:4" s="57" customFormat="1" x14ac:dyDescent="0.2">
      <c r="B25" s="57" t="s">
        <v>69</v>
      </c>
      <c r="C25" s="57">
        <f>SUM(C20:C24)</f>
        <v>7470.0999999999995</v>
      </c>
      <c r="D25" s="57">
        <f>SUM(D20:D24)</f>
        <v>9800</v>
      </c>
    </row>
    <row r="26" spans="2:4" x14ac:dyDescent="0.2">
      <c r="B26" s="47" t="s">
        <v>57</v>
      </c>
      <c r="C26" s="39">
        <v>4036.8</v>
      </c>
      <c r="D26" s="39">
        <v>4200</v>
      </c>
    </row>
    <row r="27" spans="2:4" x14ac:dyDescent="0.2">
      <c r="B27" s="47" t="s">
        <v>60</v>
      </c>
      <c r="C27" s="39">
        <v>760.6</v>
      </c>
      <c r="D27" s="39">
        <v>920</v>
      </c>
    </row>
    <row r="28" spans="2:4" x14ac:dyDescent="0.2">
      <c r="B28" s="47" t="s">
        <v>580</v>
      </c>
      <c r="C28" s="39">
        <v>8517.6</v>
      </c>
      <c r="D28" s="39">
        <v>8000</v>
      </c>
    </row>
    <row r="29" spans="2:4" s="57" customFormat="1" x14ac:dyDescent="0.2">
      <c r="B29" s="57" t="s">
        <v>37</v>
      </c>
      <c r="C29" s="57">
        <f>SUM(C25:C28)</f>
        <v>20785.099999999999</v>
      </c>
      <c r="D29" s="57">
        <f t="shared" ref="D29" si="0">SUM(D25:D28)</f>
        <v>22920</v>
      </c>
    </row>
    <row r="30" spans="2:4" x14ac:dyDescent="0.2">
      <c r="B30" s="47" t="s">
        <v>581</v>
      </c>
      <c r="C30" s="39">
        <v>75.599999999999994</v>
      </c>
      <c r="D30" s="39">
        <v>290</v>
      </c>
    </row>
    <row r="31" spans="2:4" x14ac:dyDescent="0.2">
      <c r="B31" s="47" t="s">
        <v>582</v>
      </c>
      <c r="C31" s="39">
        <v>3750.3</v>
      </c>
      <c r="D31" s="39">
        <v>4023</v>
      </c>
    </row>
    <row r="32" spans="2:4" x14ac:dyDescent="0.2">
      <c r="B32" s="47" t="s">
        <v>309</v>
      </c>
      <c r="C32" s="39">
        <v>510.8</v>
      </c>
      <c r="D32" s="39">
        <v>600</v>
      </c>
    </row>
    <row r="33" spans="1:4" s="57" customFormat="1" x14ac:dyDescent="0.2">
      <c r="B33" s="57" t="s">
        <v>71</v>
      </c>
      <c r="C33" s="57">
        <f>SUM(C30:C32)</f>
        <v>4336.7</v>
      </c>
      <c r="D33" s="57">
        <f t="shared" ref="D33" si="1">SUM(D30:D32)</f>
        <v>4913</v>
      </c>
    </row>
    <row r="34" spans="1:4" x14ac:dyDescent="0.2">
      <c r="B34" s="47" t="s">
        <v>583</v>
      </c>
      <c r="C34" s="39">
        <v>6020.6</v>
      </c>
      <c r="D34" s="39">
        <v>6910</v>
      </c>
    </row>
    <row r="35" spans="1:4" x14ac:dyDescent="0.2">
      <c r="B35" s="47" t="s">
        <v>584</v>
      </c>
      <c r="C35" s="39">
        <v>3465.7</v>
      </c>
      <c r="D35" s="39">
        <v>3750</v>
      </c>
    </row>
    <row r="36" spans="1:4" s="57" customFormat="1" x14ac:dyDescent="0.2">
      <c r="B36" s="57" t="s">
        <v>74</v>
      </c>
      <c r="C36" s="57">
        <f>SUM(C33:C35)</f>
        <v>13823</v>
      </c>
      <c r="D36" s="57">
        <f t="shared" ref="D36" si="2">SUM(D33:D35)</f>
        <v>15573</v>
      </c>
    </row>
    <row r="37" spans="1:4" x14ac:dyDescent="0.2">
      <c r="B37" s="47" t="s">
        <v>9</v>
      </c>
      <c r="C37" s="39">
        <v>2247.8000000000002</v>
      </c>
      <c r="D37" s="39">
        <v>2560</v>
      </c>
    </row>
    <row r="38" spans="1:4" x14ac:dyDescent="0.2">
      <c r="B38" s="47" t="s">
        <v>10</v>
      </c>
      <c r="C38" s="39">
        <v>4714.3</v>
      </c>
      <c r="D38" s="39">
        <v>4850</v>
      </c>
    </row>
    <row r="39" spans="1:4" x14ac:dyDescent="0.2">
      <c r="B39" s="47" t="s">
        <v>585</v>
      </c>
      <c r="C39" s="39">
        <v>0</v>
      </c>
      <c r="D39" s="39">
        <v>-63</v>
      </c>
    </row>
    <row r="40" spans="1:4" s="57" customFormat="1" x14ac:dyDescent="0.2">
      <c r="B40" s="57" t="s">
        <v>75</v>
      </c>
      <c r="C40" s="57">
        <f>SUM(C37:C39)</f>
        <v>6962.1</v>
      </c>
      <c r="D40" s="57">
        <f t="shared" ref="D40" si="3">SUM(D37:D39)</f>
        <v>7347</v>
      </c>
    </row>
    <row r="41" spans="1:4" s="57" customFormat="1" x14ac:dyDescent="0.2">
      <c r="B41" s="57" t="s">
        <v>76</v>
      </c>
      <c r="C41" s="57">
        <f>SUM(C36,C40)</f>
        <v>20785.099999999999</v>
      </c>
      <c r="D41" s="57">
        <f t="shared" ref="D41" si="4">SUM(D36,D40)</f>
        <v>22920</v>
      </c>
    </row>
    <row r="43" spans="1:4" customFormat="1" ht="15" x14ac:dyDescent="0.25">
      <c r="A43" s="51" t="s">
        <v>143</v>
      </c>
    </row>
    <row r="44" spans="1:4" customFormat="1" x14ac:dyDescent="0.2"/>
    <row r="45" spans="1:4" customFormat="1" x14ac:dyDescent="0.2"/>
    <row r="46" spans="1:4" customFormat="1" x14ac:dyDescent="0.2"/>
    <row r="47" spans="1:4" customFormat="1" x14ac:dyDescent="0.2"/>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P216"/>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9"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538</v>
      </c>
      <c r="B1" s="121"/>
      <c r="C1" s="74"/>
      <c r="D1" s="75"/>
      <c r="E1" s="75"/>
      <c r="F1" s="75"/>
      <c r="G1" s="75"/>
      <c r="H1" s="75"/>
      <c r="I1" s="75"/>
      <c r="J1" s="75"/>
      <c r="K1" s="75"/>
      <c r="L1" s="75"/>
      <c r="M1" s="75"/>
      <c r="N1" s="75"/>
      <c r="O1" s="75"/>
      <c r="P1" s="75"/>
    </row>
    <row r="2" spans="1:16" s="3" customFormat="1" ht="19.5" thickBot="1" x14ac:dyDescent="0.35">
      <c r="A2" s="76" t="str">
        <f ca="1">"Question CFS #"&amp;RIGHT(CELL("filename",$A$1),LEN(CELL("filename",$A$1))-FIND("]",CELL("filename",$A$1))-5)</f>
        <v>Question CFS #7</v>
      </c>
      <c r="B2" s="122"/>
      <c r="C2" s="77"/>
      <c r="D2" s="78"/>
      <c r="E2" s="78"/>
      <c r="F2" s="78"/>
      <c r="G2" s="78"/>
      <c r="H2" s="78"/>
      <c r="I2" s="78"/>
      <c r="J2" s="78"/>
      <c r="K2" s="78"/>
      <c r="L2" s="78"/>
      <c r="M2" s="78"/>
      <c r="N2" s="78"/>
      <c r="O2" s="78"/>
      <c r="P2" s="78"/>
    </row>
    <row r="3" spans="1:16" ht="13.5" thickTop="1" x14ac:dyDescent="0.2"/>
    <row r="4" spans="1:16" x14ac:dyDescent="0.2">
      <c r="B4" s="57" t="s">
        <v>586</v>
      </c>
    </row>
    <row r="6" spans="1:16" s="57" customFormat="1" ht="15" x14ac:dyDescent="0.25">
      <c r="A6" s="67"/>
      <c r="B6" s="57" t="s">
        <v>140</v>
      </c>
      <c r="C6" s="88"/>
      <c r="D6" s="79" t="s">
        <v>218</v>
      </c>
    </row>
    <row r="7" spans="1:16" x14ac:dyDescent="0.2">
      <c r="A7" s="91"/>
      <c r="B7" s="47" t="s">
        <v>439</v>
      </c>
      <c r="D7" s="39">
        <v>59333</v>
      </c>
    </row>
    <row r="8" spans="1:16" x14ac:dyDescent="0.2">
      <c r="B8" s="47" t="s">
        <v>26</v>
      </c>
      <c r="D8" s="39">
        <v>47068</v>
      </c>
    </row>
    <row r="9" spans="1:16" x14ac:dyDescent="0.2">
      <c r="B9" s="47" t="s">
        <v>388</v>
      </c>
      <c r="D9" s="39">
        <v>2000</v>
      </c>
    </row>
    <row r="10" spans="1:16" x14ac:dyDescent="0.2">
      <c r="B10" s="47" t="s">
        <v>587</v>
      </c>
      <c r="D10" s="39">
        <v>5042</v>
      </c>
    </row>
    <row r="11" spans="1:16" s="87" customFormat="1" x14ac:dyDescent="0.2">
      <c r="B11" s="57" t="s">
        <v>29</v>
      </c>
      <c r="C11" s="57"/>
      <c r="D11" s="57">
        <f>D7-D8-D9-D10</f>
        <v>5223</v>
      </c>
    </row>
    <row r="12" spans="1:16" x14ac:dyDescent="0.2">
      <c r="B12" s="47" t="s">
        <v>588</v>
      </c>
      <c r="D12" s="39">
        <v>-869</v>
      </c>
    </row>
    <row r="13" spans="1:16" s="57" customFormat="1" x14ac:dyDescent="0.2">
      <c r="B13" s="57" t="s">
        <v>589</v>
      </c>
      <c r="D13" s="57">
        <f>D11-D12</f>
        <v>6092</v>
      </c>
    </row>
    <row r="14" spans="1:16" x14ac:dyDescent="0.2">
      <c r="B14" s="47" t="s">
        <v>578</v>
      </c>
      <c r="D14" s="39">
        <v>2372</v>
      </c>
    </row>
    <row r="15" spans="1:16" s="57" customFormat="1" x14ac:dyDescent="0.2">
      <c r="B15" s="57" t="s">
        <v>44</v>
      </c>
      <c r="D15" s="57">
        <f>D13-D14</f>
        <v>3720</v>
      </c>
    </row>
    <row r="17" spans="2:4" s="57" customFormat="1" ht="15" x14ac:dyDescent="0.25">
      <c r="B17" s="57" t="s">
        <v>107</v>
      </c>
      <c r="C17" s="79" t="s">
        <v>219</v>
      </c>
      <c r="D17" s="79" t="str">
        <f>D6</f>
        <v>Year 2</v>
      </c>
    </row>
    <row r="18" spans="2:4" s="87" customFormat="1" x14ac:dyDescent="0.2">
      <c r="B18" s="47" t="s">
        <v>8</v>
      </c>
      <c r="C18" s="39">
        <v>0</v>
      </c>
      <c r="D18" s="39">
        <v>100</v>
      </c>
    </row>
    <row r="19" spans="2:4" x14ac:dyDescent="0.2">
      <c r="B19" s="47" t="s">
        <v>304</v>
      </c>
      <c r="C19" s="39">
        <v>5158</v>
      </c>
      <c r="D19" s="39">
        <v>6000</v>
      </c>
    </row>
    <row r="20" spans="2:4" s="87" customFormat="1" x14ac:dyDescent="0.2">
      <c r="B20" s="47" t="s">
        <v>286</v>
      </c>
      <c r="C20" s="39">
        <v>14465</v>
      </c>
      <c r="D20" s="39">
        <v>15000</v>
      </c>
    </row>
    <row r="21" spans="2:4" x14ac:dyDescent="0.2">
      <c r="B21" s="47" t="s">
        <v>108</v>
      </c>
      <c r="C21" s="39">
        <v>5195</v>
      </c>
      <c r="D21" s="39">
        <v>6000</v>
      </c>
    </row>
    <row r="22" spans="2:4" x14ac:dyDescent="0.2">
      <c r="B22" s="47" t="s">
        <v>59</v>
      </c>
      <c r="C22" s="39">
        <v>1929</v>
      </c>
      <c r="D22" s="39">
        <v>2000</v>
      </c>
    </row>
    <row r="23" spans="2:4" s="57" customFormat="1" x14ac:dyDescent="0.2">
      <c r="B23" s="57" t="s">
        <v>69</v>
      </c>
      <c r="C23" s="57">
        <f>SUM(C18:C22)</f>
        <v>26747</v>
      </c>
      <c r="D23" s="57">
        <f t="shared" ref="D23" si="0">SUM(D18:D22)</f>
        <v>29100</v>
      </c>
    </row>
    <row r="24" spans="2:4" x14ac:dyDescent="0.2">
      <c r="B24" s="47" t="s">
        <v>57</v>
      </c>
      <c r="C24" s="39">
        <v>18829</v>
      </c>
      <c r="D24" s="39">
        <v>18800</v>
      </c>
    </row>
    <row r="25" spans="2:4" x14ac:dyDescent="0.2">
      <c r="B25" s="47" t="s">
        <v>60</v>
      </c>
      <c r="C25" s="39">
        <v>2594</v>
      </c>
      <c r="D25" s="39">
        <v>2500</v>
      </c>
    </row>
    <row r="26" spans="2:4" x14ac:dyDescent="0.2">
      <c r="B26" s="47" t="s">
        <v>459</v>
      </c>
      <c r="C26" s="39">
        <v>8014</v>
      </c>
      <c r="D26" s="39">
        <v>8000</v>
      </c>
    </row>
    <row r="27" spans="2:4" s="57" customFormat="1" x14ac:dyDescent="0.2">
      <c r="B27" s="57" t="s">
        <v>37</v>
      </c>
      <c r="C27" s="57">
        <f>SUM(C23:C26)</f>
        <v>56184</v>
      </c>
      <c r="D27" s="57">
        <f t="shared" ref="D27" si="1">SUM(D23:D26)</f>
        <v>58400</v>
      </c>
    </row>
    <row r="28" spans="2:4" s="57" customFormat="1" x14ac:dyDescent="0.2">
      <c r="B28" s="47" t="s">
        <v>569</v>
      </c>
      <c r="C28" s="39">
        <v>0</v>
      </c>
      <c r="D28" s="39">
        <v>1180</v>
      </c>
    </row>
    <row r="29" spans="2:4" x14ac:dyDescent="0.2">
      <c r="B29" s="47" t="s">
        <v>581</v>
      </c>
      <c r="C29" s="39">
        <v>3214</v>
      </c>
      <c r="D29" s="39">
        <v>4000</v>
      </c>
    </row>
    <row r="30" spans="2:4" x14ac:dyDescent="0.2">
      <c r="B30" s="47" t="s">
        <v>582</v>
      </c>
      <c r="C30" s="39">
        <v>17845</v>
      </c>
      <c r="D30" s="39">
        <v>18220</v>
      </c>
    </row>
    <row r="31" spans="2:4" x14ac:dyDescent="0.2">
      <c r="B31" s="47" t="s">
        <v>590</v>
      </c>
      <c r="C31" s="39">
        <v>2998</v>
      </c>
      <c r="D31" s="39">
        <v>2500</v>
      </c>
    </row>
    <row r="32" spans="2:4" s="57" customFormat="1" x14ac:dyDescent="0.2">
      <c r="B32" s="57" t="s">
        <v>71</v>
      </c>
      <c r="C32" s="57">
        <f>SUM(C28:C31)</f>
        <v>24057</v>
      </c>
      <c r="D32" s="57">
        <f t="shared" ref="D32" si="2">SUM(D28:D31)</f>
        <v>25900</v>
      </c>
    </row>
    <row r="33" spans="1:4" x14ac:dyDescent="0.2">
      <c r="B33" s="47" t="s">
        <v>72</v>
      </c>
      <c r="C33" s="39">
        <v>7184</v>
      </c>
      <c r="D33" s="39">
        <v>7500</v>
      </c>
    </row>
    <row r="34" spans="1:4" x14ac:dyDescent="0.2">
      <c r="B34" s="47" t="s">
        <v>505</v>
      </c>
      <c r="C34" s="39">
        <v>13372</v>
      </c>
      <c r="D34" s="39">
        <v>13400</v>
      </c>
    </row>
    <row r="35" spans="1:4" s="57" customFormat="1" x14ac:dyDescent="0.2">
      <c r="B35" s="57" t="s">
        <v>74</v>
      </c>
      <c r="C35" s="57">
        <f>SUM(C32:C34)</f>
        <v>44613</v>
      </c>
      <c r="D35" s="57">
        <f t="shared" ref="D35" si="3">SUM(D32:D34)</f>
        <v>46800</v>
      </c>
    </row>
    <row r="36" spans="1:4" x14ac:dyDescent="0.2">
      <c r="B36" s="47" t="s">
        <v>9</v>
      </c>
      <c r="C36" s="39">
        <v>5951</v>
      </c>
      <c r="D36" s="39">
        <v>6000</v>
      </c>
    </row>
    <row r="37" spans="1:4" x14ac:dyDescent="0.2">
      <c r="B37" s="47" t="s">
        <v>10</v>
      </c>
      <c r="C37" s="39">
        <v>8829</v>
      </c>
      <c r="D37" s="39">
        <v>9000</v>
      </c>
    </row>
    <row r="38" spans="1:4" x14ac:dyDescent="0.2">
      <c r="B38" s="47" t="s">
        <v>585</v>
      </c>
      <c r="C38" s="39">
        <v>-3209</v>
      </c>
      <c r="D38" s="39">
        <v>-3400</v>
      </c>
    </row>
    <row r="39" spans="1:4" s="57" customFormat="1" x14ac:dyDescent="0.2">
      <c r="B39" s="57" t="s">
        <v>75</v>
      </c>
      <c r="C39" s="57">
        <f>SUM(C36:C38)</f>
        <v>11571</v>
      </c>
      <c r="D39" s="57">
        <f t="shared" ref="D39" si="4">SUM(D36:D38)</f>
        <v>11600</v>
      </c>
    </row>
    <row r="40" spans="1:4" s="57" customFormat="1" x14ac:dyDescent="0.2">
      <c r="B40" s="57" t="s">
        <v>76</v>
      </c>
      <c r="C40" s="57">
        <f>SUM(C35,C39)</f>
        <v>56184</v>
      </c>
      <c r="D40" s="57">
        <f t="shared" ref="D40" si="5">SUM(D35,D39)</f>
        <v>58400</v>
      </c>
    </row>
    <row r="42" spans="1:4" customFormat="1" ht="15" x14ac:dyDescent="0.25">
      <c r="A42" s="51" t="s">
        <v>143</v>
      </c>
    </row>
    <row r="43" spans="1:4" customFormat="1" x14ac:dyDescent="0.2"/>
    <row r="44" spans="1:4" customFormat="1" x14ac:dyDescent="0.2"/>
    <row r="45" spans="1:4" customFormat="1" x14ac:dyDescent="0.2"/>
    <row r="46" spans="1:4" customFormat="1" x14ac:dyDescent="0.2"/>
    <row r="47" spans="1:4" customFormat="1" x14ac:dyDescent="0.2"/>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P158"/>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47" customWidth="1"/>
    <col min="2" max="2" width="39" style="47" bestFit="1" customWidth="1"/>
    <col min="3" max="3" width="10.7109375" style="47" bestFit="1" customWidth="1"/>
    <col min="4" max="4" width="10.140625" style="47" bestFit="1" customWidth="1"/>
    <col min="5" max="5" width="14.5703125" style="47" bestFit="1" customWidth="1"/>
    <col min="6" max="6" width="17.28515625" style="47" bestFit="1" customWidth="1"/>
    <col min="7" max="7" width="10.140625" style="47" bestFit="1" customWidth="1"/>
    <col min="8" max="9" width="9.5703125" style="47" bestFit="1" customWidth="1"/>
    <col min="10" max="11" width="9.140625" style="47"/>
    <col min="12" max="12" width="9.5703125" style="47" bestFit="1" customWidth="1"/>
    <col min="13" max="13" width="10.140625" style="47" bestFit="1" customWidth="1"/>
    <col min="14" max="14" width="9.5703125" style="47" bestFit="1" customWidth="1"/>
    <col min="15" max="15" width="9.140625" style="47"/>
    <col min="16" max="16" width="9.5703125" style="47" bestFit="1" customWidth="1"/>
    <col min="17" max="17" width="9.140625" style="47"/>
    <col min="18" max="18" width="9.5703125" style="47" bestFit="1" customWidth="1"/>
    <col min="19" max="19" width="10.140625" style="47" bestFit="1" customWidth="1"/>
    <col min="20" max="16384" width="9.140625" style="47"/>
  </cols>
  <sheetData>
    <row r="1" spans="1:16" s="3" customFormat="1" ht="30" x14ac:dyDescent="0.45">
      <c r="A1" s="9" t="s">
        <v>538</v>
      </c>
      <c r="B1" s="121"/>
      <c r="C1" s="74"/>
      <c r="D1" s="75"/>
      <c r="E1" s="75"/>
      <c r="F1" s="75"/>
      <c r="G1" s="75"/>
      <c r="H1" s="75"/>
      <c r="I1" s="75"/>
      <c r="J1" s="75"/>
      <c r="K1" s="75"/>
      <c r="L1" s="75"/>
      <c r="M1" s="75"/>
      <c r="N1" s="75"/>
      <c r="O1" s="75"/>
      <c r="P1" s="75"/>
    </row>
    <row r="2" spans="1:16" s="3" customFormat="1" ht="19.5" thickBot="1" x14ac:dyDescent="0.35">
      <c r="A2" s="76" t="str">
        <f ca="1">"Question CFS #"&amp;RIGHT(CELL("filename",$A$1),LEN(CELL("filename",$A$1))-FIND("]",CELL("filename",$A$1))-5)</f>
        <v>Question CFS #8</v>
      </c>
      <c r="B2" s="122"/>
      <c r="C2" s="77"/>
      <c r="D2" s="78"/>
      <c r="E2" s="78"/>
      <c r="F2" s="78"/>
      <c r="G2" s="78"/>
      <c r="H2" s="78"/>
      <c r="I2" s="78"/>
      <c r="J2" s="78"/>
      <c r="K2" s="78"/>
      <c r="L2" s="78"/>
      <c r="M2" s="78"/>
      <c r="N2" s="78"/>
      <c r="O2" s="78"/>
      <c r="P2" s="78"/>
    </row>
    <row r="3" spans="1:16" ht="13.5" thickTop="1" x14ac:dyDescent="0.2"/>
    <row r="4" spans="1:16" x14ac:dyDescent="0.2">
      <c r="B4" s="82" t="s">
        <v>591</v>
      </c>
    </row>
    <row r="6" spans="1:16" s="57" customFormat="1" ht="15" x14ac:dyDescent="0.25">
      <c r="A6" s="67"/>
      <c r="B6" s="57" t="s">
        <v>140</v>
      </c>
      <c r="C6" s="88"/>
      <c r="D6" s="79" t="s">
        <v>218</v>
      </c>
    </row>
    <row r="7" spans="1:16" x14ac:dyDescent="0.2">
      <c r="A7" s="91"/>
      <c r="B7" s="47" t="s">
        <v>439</v>
      </c>
      <c r="D7" s="39">
        <v>59333</v>
      </c>
    </row>
    <row r="8" spans="1:16" x14ac:dyDescent="0.2">
      <c r="B8" s="47" t="s">
        <v>26</v>
      </c>
      <c r="D8" s="39">
        <v>47068</v>
      </c>
    </row>
    <row r="9" spans="1:16" x14ac:dyDescent="0.2">
      <c r="B9" s="47" t="s">
        <v>388</v>
      </c>
      <c r="D9" s="39">
        <v>2000</v>
      </c>
    </row>
    <row r="10" spans="1:16" x14ac:dyDescent="0.2">
      <c r="B10" s="47" t="s">
        <v>587</v>
      </c>
      <c r="D10" s="39">
        <v>5042</v>
      </c>
    </row>
    <row r="11" spans="1:16" s="87" customFormat="1" x14ac:dyDescent="0.2">
      <c r="B11" s="57" t="s">
        <v>29</v>
      </c>
      <c r="C11" s="57"/>
      <c r="D11" s="57">
        <f>D7-D8-D9-D10</f>
        <v>5223</v>
      </c>
    </row>
    <row r="12" spans="1:16" x14ac:dyDescent="0.2">
      <c r="B12" s="47" t="s">
        <v>588</v>
      </c>
      <c r="D12" s="39">
        <v>-869</v>
      </c>
    </row>
    <row r="13" spans="1:16" s="57" customFormat="1" x14ac:dyDescent="0.2">
      <c r="B13" s="57" t="s">
        <v>589</v>
      </c>
      <c r="D13" s="57">
        <f>D11-D12</f>
        <v>6092</v>
      </c>
    </row>
    <row r="14" spans="1:16" x14ac:dyDescent="0.2">
      <c r="B14" s="47" t="s">
        <v>578</v>
      </c>
      <c r="D14" s="39">
        <v>2372</v>
      </c>
    </row>
    <row r="15" spans="1:16" s="57" customFormat="1" x14ac:dyDescent="0.2">
      <c r="B15" s="57" t="s">
        <v>44</v>
      </c>
      <c r="D15" s="57">
        <f>D13-D14</f>
        <v>3720</v>
      </c>
    </row>
    <row r="17" spans="2:4" s="57" customFormat="1" ht="15" x14ac:dyDescent="0.25">
      <c r="B17" s="57" t="s">
        <v>107</v>
      </c>
      <c r="C17" s="79" t="s">
        <v>219</v>
      </c>
      <c r="D17" s="79" t="str">
        <f>D6</f>
        <v>Year 2</v>
      </c>
    </row>
    <row r="18" spans="2:4" s="87" customFormat="1" x14ac:dyDescent="0.2">
      <c r="B18" s="47" t="s">
        <v>8</v>
      </c>
      <c r="C18" s="39">
        <v>0</v>
      </c>
      <c r="D18" s="39">
        <v>100</v>
      </c>
    </row>
    <row r="19" spans="2:4" x14ac:dyDescent="0.2">
      <c r="B19" s="47" t="s">
        <v>304</v>
      </c>
      <c r="C19" s="39">
        <v>5158</v>
      </c>
      <c r="D19" s="39">
        <v>6000</v>
      </c>
    </row>
    <row r="20" spans="2:4" s="87" customFormat="1" x14ac:dyDescent="0.2">
      <c r="B20" s="47" t="s">
        <v>286</v>
      </c>
      <c r="C20" s="39">
        <v>14465</v>
      </c>
      <c r="D20" s="39">
        <v>15000</v>
      </c>
    </row>
    <row r="21" spans="2:4" x14ac:dyDescent="0.2">
      <c r="B21" s="47" t="s">
        <v>108</v>
      </c>
      <c r="C21" s="39">
        <v>5195</v>
      </c>
      <c r="D21" s="39">
        <v>6000</v>
      </c>
    </row>
    <row r="22" spans="2:4" x14ac:dyDescent="0.2">
      <c r="B22" s="47" t="s">
        <v>59</v>
      </c>
      <c r="C22" s="39">
        <v>1929</v>
      </c>
      <c r="D22" s="39">
        <v>2000</v>
      </c>
    </row>
    <row r="23" spans="2:4" s="57" customFormat="1" x14ac:dyDescent="0.2">
      <c r="B23" s="57" t="s">
        <v>69</v>
      </c>
      <c r="C23" s="57">
        <f>SUM(C18:C22)</f>
        <v>26747</v>
      </c>
      <c r="D23" s="57">
        <f t="shared" ref="D23" si="0">SUM(D18:D22)</f>
        <v>29100</v>
      </c>
    </row>
    <row r="24" spans="2:4" x14ac:dyDescent="0.2">
      <c r="B24" s="47" t="s">
        <v>57</v>
      </c>
      <c r="C24" s="39">
        <v>18829</v>
      </c>
      <c r="D24" s="39">
        <v>18800</v>
      </c>
    </row>
    <row r="25" spans="2:4" x14ac:dyDescent="0.2">
      <c r="B25" s="47" t="s">
        <v>60</v>
      </c>
      <c r="C25" s="39">
        <v>2594</v>
      </c>
      <c r="D25" s="39">
        <v>2500</v>
      </c>
    </row>
    <row r="26" spans="2:4" x14ac:dyDescent="0.2">
      <c r="B26" s="47" t="s">
        <v>459</v>
      </c>
      <c r="C26" s="39">
        <v>8014</v>
      </c>
      <c r="D26" s="39">
        <v>8000</v>
      </c>
    </row>
    <row r="27" spans="2:4" s="57" customFormat="1" x14ac:dyDescent="0.2">
      <c r="B27" s="57" t="s">
        <v>37</v>
      </c>
      <c r="C27" s="57">
        <f>SUM(C23:C26)</f>
        <v>56184</v>
      </c>
      <c r="D27" s="57">
        <f t="shared" ref="D27" si="1">SUM(D23:D26)</f>
        <v>58400</v>
      </c>
    </row>
    <row r="28" spans="2:4" s="57" customFormat="1" x14ac:dyDescent="0.2">
      <c r="B28" s="47" t="s">
        <v>569</v>
      </c>
      <c r="C28" s="39">
        <v>0</v>
      </c>
      <c r="D28" s="39">
        <v>1180</v>
      </c>
    </row>
    <row r="29" spans="2:4" x14ac:dyDescent="0.2">
      <c r="B29" s="47" t="s">
        <v>581</v>
      </c>
      <c r="C29" s="39">
        <v>3214</v>
      </c>
      <c r="D29" s="39">
        <v>4000</v>
      </c>
    </row>
    <row r="30" spans="2:4" x14ac:dyDescent="0.2">
      <c r="B30" s="47" t="s">
        <v>582</v>
      </c>
      <c r="C30" s="39">
        <v>17845</v>
      </c>
      <c r="D30" s="39">
        <v>18220</v>
      </c>
    </row>
    <row r="31" spans="2:4" x14ac:dyDescent="0.2">
      <c r="B31" s="47" t="s">
        <v>590</v>
      </c>
      <c r="C31" s="39">
        <v>2998</v>
      </c>
      <c r="D31" s="39">
        <v>2500</v>
      </c>
    </row>
    <row r="32" spans="2:4" s="57" customFormat="1" x14ac:dyDescent="0.2">
      <c r="B32" s="57" t="s">
        <v>71</v>
      </c>
      <c r="C32" s="57">
        <f>SUM(C28:C31)</f>
        <v>24057</v>
      </c>
      <c r="D32" s="57">
        <f t="shared" ref="D32" si="2">SUM(D28:D31)</f>
        <v>25900</v>
      </c>
    </row>
    <row r="33" spans="1:4" x14ac:dyDescent="0.2">
      <c r="B33" s="47" t="s">
        <v>72</v>
      </c>
      <c r="C33" s="39">
        <v>7184</v>
      </c>
      <c r="D33" s="39">
        <v>7500</v>
      </c>
    </row>
    <row r="34" spans="1:4" x14ac:dyDescent="0.2">
      <c r="B34" s="47" t="s">
        <v>505</v>
      </c>
      <c r="C34" s="39">
        <v>13372</v>
      </c>
      <c r="D34" s="39">
        <v>13400</v>
      </c>
    </row>
    <row r="35" spans="1:4" s="57" customFormat="1" x14ac:dyDescent="0.2">
      <c r="B35" s="57" t="s">
        <v>74</v>
      </c>
      <c r="C35" s="57">
        <f>SUM(C32:C34)</f>
        <v>44613</v>
      </c>
      <c r="D35" s="57">
        <f t="shared" ref="D35" si="3">SUM(D32:D34)</f>
        <v>46800</v>
      </c>
    </row>
    <row r="36" spans="1:4" x14ac:dyDescent="0.2">
      <c r="B36" s="47" t="s">
        <v>9</v>
      </c>
      <c r="C36" s="39">
        <v>5951</v>
      </c>
      <c r="D36" s="39">
        <v>6000</v>
      </c>
    </row>
    <row r="37" spans="1:4" x14ac:dyDescent="0.2">
      <c r="B37" s="47" t="s">
        <v>10</v>
      </c>
      <c r="C37" s="39">
        <v>8829</v>
      </c>
      <c r="D37" s="39">
        <v>9000</v>
      </c>
    </row>
    <row r="38" spans="1:4" x14ac:dyDescent="0.2">
      <c r="B38" s="47" t="s">
        <v>585</v>
      </c>
      <c r="C38" s="39">
        <v>-3209</v>
      </c>
      <c r="D38" s="39">
        <v>-3400</v>
      </c>
    </row>
    <row r="39" spans="1:4" s="57" customFormat="1" x14ac:dyDescent="0.2">
      <c r="B39" s="57" t="s">
        <v>75</v>
      </c>
      <c r="C39" s="57">
        <f>SUM(C36:C38)</f>
        <v>11571</v>
      </c>
      <c r="D39" s="57">
        <f t="shared" ref="D39" si="4">SUM(D36:D38)</f>
        <v>11600</v>
      </c>
    </row>
    <row r="40" spans="1:4" s="57" customFormat="1" x14ac:dyDescent="0.2">
      <c r="B40" s="57" t="s">
        <v>76</v>
      </c>
      <c r="C40" s="57">
        <f>SUM(C35,C39)</f>
        <v>56184</v>
      </c>
      <c r="D40" s="57">
        <f t="shared" ref="D40" si="5">SUM(D35,D39)</f>
        <v>58400</v>
      </c>
    </row>
    <row r="42" spans="1:4" customFormat="1" ht="15" x14ac:dyDescent="0.25">
      <c r="A42" s="51" t="s">
        <v>143</v>
      </c>
    </row>
    <row r="43" spans="1:4" customFormat="1" x14ac:dyDescent="0.2"/>
    <row r="44" spans="1:4" customFormat="1" x14ac:dyDescent="0.2"/>
    <row r="45" spans="1:4" customFormat="1" x14ac:dyDescent="0.2"/>
    <row r="46" spans="1:4" customFormat="1" x14ac:dyDescent="0.2"/>
    <row r="47" spans="1:4" customFormat="1" x14ac:dyDescent="0.2"/>
    <row r="48" spans="1:4"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sheetData>
  <pageMargins left="0.75" right="0.75" top="1" bottom="1" header="0.5" footer="0.5"/>
  <pageSetup orientation="portrait" r:id="rId1"/>
  <headerFooter alignWithMargins="0">
    <oddFooter>&amp;L&amp;8© AMT Training 2008 - 2016</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9"/>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36" customWidth="1"/>
    <col min="2" max="2" width="9.7109375" style="36" customWidth="1"/>
    <col min="3" max="3" width="19.42578125" style="36" bestFit="1" customWidth="1"/>
    <col min="4" max="4" width="10.140625" style="36" bestFit="1" customWidth="1"/>
    <col min="5" max="5" width="9.140625" style="36"/>
    <col min="6" max="6" width="23" style="36" bestFit="1" customWidth="1"/>
    <col min="7" max="7" width="10.140625" style="36" bestFit="1" customWidth="1"/>
    <col min="8" max="9" width="9.5703125" style="36" bestFit="1"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0" s="14" customFormat="1" ht="30" x14ac:dyDescent="0.45">
      <c r="A1" s="9" t="str">
        <f>CoName</f>
        <v>Accounting fundamentals</v>
      </c>
      <c r="B1" s="10"/>
      <c r="C1" s="10"/>
      <c r="D1" s="11"/>
      <c r="E1" s="11"/>
      <c r="F1" s="11"/>
      <c r="G1" s="11"/>
      <c r="H1" s="11"/>
      <c r="I1" s="11"/>
      <c r="J1" s="11"/>
    </row>
    <row r="2" spans="1:10" s="14" customFormat="1" ht="19.5" thickBot="1" x14ac:dyDescent="0.35">
      <c r="A2" s="5" t="str">
        <f ca="1">"Question AF #"&amp;RIGHT(CELL("filename",$A$1),LEN(CELL("filename",$A$1))-FIND("]",CELL("filename",$A$1))-4)</f>
        <v>Question AF #5</v>
      </c>
      <c r="B2" s="12"/>
      <c r="C2" s="12"/>
      <c r="D2" s="13"/>
      <c r="E2" s="13"/>
      <c r="F2" s="13"/>
      <c r="G2" s="13"/>
      <c r="H2" s="13"/>
      <c r="I2" s="13"/>
      <c r="J2" s="13"/>
    </row>
    <row r="3" spans="1:10" ht="13.5" thickTop="1" x14ac:dyDescent="0.2"/>
    <row r="4" spans="1:10" x14ac:dyDescent="0.2">
      <c r="B4" s="23" t="s">
        <v>111</v>
      </c>
    </row>
    <row r="6" spans="1:10" x14ac:dyDescent="0.2">
      <c r="B6" s="43">
        <v>1</v>
      </c>
      <c r="C6" s="36" t="s">
        <v>112</v>
      </c>
    </row>
    <row r="7" spans="1:10" x14ac:dyDescent="0.2">
      <c r="B7" s="43"/>
    </row>
    <row r="8" spans="1:10" x14ac:dyDescent="0.2">
      <c r="B8" s="43"/>
      <c r="C8" s="36" t="s">
        <v>5</v>
      </c>
      <c r="E8" s="36" t="s">
        <v>6</v>
      </c>
      <c r="F8" s="36" t="s">
        <v>7</v>
      </c>
      <c r="G8" s="37"/>
    </row>
    <row r="9" spans="1:10" x14ac:dyDescent="0.2">
      <c r="B9" s="43"/>
      <c r="C9" s="24"/>
      <c r="D9" s="24"/>
      <c r="F9" s="24"/>
      <c r="G9" s="24"/>
    </row>
    <row r="10" spans="1:10" x14ac:dyDescent="0.2">
      <c r="B10" s="43"/>
      <c r="C10" s="24"/>
      <c r="D10" s="24"/>
      <c r="F10" s="24"/>
      <c r="G10" s="24"/>
    </row>
    <row r="11" spans="1:10" x14ac:dyDescent="0.2">
      <c r="B11" s="43"/>
    </row>
    <row r="12" spans="1:10" x14ac:dyDescent="0.2">
      <c r="B12" s="43">
        <v>2</v>
      </c>
      <c r="C12" s="36" t="s">
        <v>113</v>
      </c>
    </row>
    <row r="13" spans="1:10" x14ac:dyDescent="0.2">
      <c r="B13" s="43"/>
    </row>
    <row r="14" spans="1:10" x14ac:dyDescent="0.2">
      <c r="B14" s="43"/>
      <c r="C14" s="36" t="s">
        <v>5</v>
      </c>
      <c r="E14" s="36" t="s">
        <v>6</v>
      </c>
      <c r="F14" s="36" t="s">
        <v>7</v>
      </c>
      <c r="G14" s="37"/>
    </row>
    <row r="15" spans="1:10" x14ac:dyDescent="0.2">
      <c r="B15" s="43"/>
      <c r="C15" s="24"/>
      <c r="D15" s="24"/>
      <c r="F15" s="24"/>
      <c r="G15" s="24"/>
    </row>
    <row r="16" spans="1:10" x14ac:dyDescent="0.2">
      <c r="B16" s="43"/>
      <c r="C16" s="24"/>
      <c r="D16" s="24"/>
      <c r="F16" s="24"/>
      <c r="G16" s="24"/>
    </row>
    <row r="17" spans="2:7" x14ac:dyDescent="0.2">
      <c r="B17" s="43"/>
    </row>
    <row r="18" spans="2:7" x14ac:dyDescent="0.2">
      <c r="B18" s="43">
        <v>3</v>
      </c>
      <c r="C18" s="36" t="s">
        <v>114</v>
      </c>
    </row>
    <row r="19" spans="2:7" x14ac:dyDescent="0.2">
      <c r="B19" s="43"/>
    </row>
    <row r="20" spans="2:7" x14ac:dyDescent="0.2">
      <c r="B20" s="43"/>
      <c r="C20" s="36" t="s">
        <v>5</v>
      </c>
      <c r="E20" s="36" t="s">
        <v>6</v>
      </c>
      <c r="F20" s="36" t="s">
        <v>7</v>
      </c>
      <c r="G20" s="37"/>
    </row>
    <row r="21" spans="2:7" x14ac:dyDescent="0.2">
      <c r="B21" s="43"/>
      <c r="C21" s="24"/>
      <c r="D21" s="24"/>
      <c r="F21" s="24"/>
      <c r="G21" s="24"/>
    </row>
    <row r="22" spans="2:7" x14ac:dyDescent="0.2">
      <c r="B22" s="43"/>
      <c r="C22" s="24"/>
      <c r="D22" s="24"/>
      <c r="F22" s="24"/>
      <c r="G22" s="24"/>
    </row>
    <row r="23" spans="2:7" x14ac:dyDescent="0.2">
      <c r="B23" s="43"/>
    </row>
    <row r="24" spans="2:7" x14ac:dyDescent="0.2">
      <c r="B24" s="43">
        <v>4</v>
      </c>
      <c r="C24" s="36" t="s">
        <v>115</v>
      </c>
    </row>
    <row r="25" spans="2:7" x14ac:dyDescent="0.2">
      <c r="B25" s="43"/>
    </row>
    <row r="26" spans="2:7" x14ac:dyDescent="0.2">
      <c r="B26" s="43"/>
      <c r="C26" s="36" t="s">
        <v>5</v>
      </c>
      <c r="E26" s="36" t="s">
        <v>6</v>
      </c>
      <c r="F26" s="36" t="s">
        <v>7</v>
      </c>
      <c r="G26" s="37"/>
    </row>
    <row r="27" spans="2:7" x14ac:dyDescent="0.2">
      <c r="B27" s="43"/>
      <c r="C27" s="24"/>
      <c r="D27" s="24"/>
      <c r="F27" s="24"/>
      <c r="G27" s="24"/>
    </row>
    <row r="28" spans="2:7" x14ac:dyDescent="0.2">
      <c r="B28" s="43"/>
      <c r="C28" s="24"/>
      <c r="D28" s="24"/>
      <c r="F28" s="24"/>
      <c r="G28" s="24"/>
    </row>
    <row r="29" spans="2:7" x14ac:dyDescent="0.2">
      <c r="B29" s="43"/>
    </row>
    <row r="30" spans="2:7" x14ac:dyDescent="0.2">
      <c r="B30" s="43">
        <v>5</v>
      </c>
      <c r="C30" s="36" t="s">
        <v>116</v>
      </c>
    </row>
    <row r="31" spans="2:7" x14ac:dyDescent="0.2">
      <c r="B31" s="43"/>
    </row>
    <row r="32" spans="2:7" x14ac:dyDescent="0.2">
      <c r="B32" s="43"/>
      <c r="C32" s="36" t="s">
        <v>5</v>
      </c>
      <c r="E32" s="36" t="s">
        <v>6</v>
      </c>
      <c r="F32" s="36" t="s">
        <v>7</v>
      </c>
      <c r="G32" s="37"/>
    </row>
    <row r="33" spans="2:11" x14ac:dyDescent="0.2">
      <c r="B33" s="43"/>
      <c r="C33" s="24"/>
      <c r="D33" s="24"/>
      <c r="F33" s="24"/>
      <c r="G33" s="24"/>
    </row>
    <row r="34" spans="2:11" x14ac:dyDescent="0.2">
      <c r="B34" s="43"/>
      <c r="C34" s="24"/>
      <c r="D34" s="24"/>
      <c r="F34" s="24"/>
      <c r="G34" s="24"/>
    </row>
    <row r="35" spans="2:11" x14ac:dyDescent="0.2">
      <c r="B35" s="43"/>
    </row>
    <row r="36" spans="2:11" x14ac:dyDescent="0.2">
      <c r="B36" s="43"/>
    </row>
    <row r="37" spans="2:11" s="38" customFormat="1" x14ac:dyDescent="0.2">
      <c r="C37" s="38" t="s">
        <v>107</v>
      </c>
      <c r="D37" s="44" t="s">
        <v>132</v>
      </c>
      <c r="E37" s="45" t="s">
        <v>134</v>
      </c>
      <c r="F37" s="45" t="s">
        <v>135</v>
      </c>
      <c r="G37" s="45">
        <v>2</v>
      </c>
      <c r="H37" s="45">
        <v>3</v>
      </c>
      <c r="I37" s="45">
        <v>4</v>
      </c>
      <c r="J37" s="45">
        <v>5</v>
      </c>
      <c r="K37" s="44" t="s">
        <v>133</v>
      </c>
    </row>
    <row r="38" spans="2:11" x14ac:dyDescent="0.2">
      <c r="C38" s="36" t="s">
        <v>8</v>
      </c>
      <c r="D38" s="36">
        <f>'AF Q4'!K46</f>
        <v>948.6</v>
      </c>
    </row>
    <row r="39" spans="2:11" x14ac:dyDescent="0.2">
      <c r="C39" s="36" t="s">
        <v>56</v>
      </c>
      <c r="D39" s="36">
        <f>'AF Q4'!K47</f>
        <v>190</v>
      </c>
    </row>
    <row r="40" spans="2:11" x14ac:dyDescent="0.2">
      <c r="C40" s="36" t="s">
        <v>108</v>
      </c>
      <c r="D40" s="36">
        <f>'AF Q4'!K48</f>
        <v>844</v>
      </c>
    </row>
    <row r="41" spans="2:11" s="38" customFormat="1" x14ac:dyDescent="0.2">
      <c r="C41" s="38" t="s">
        <v>69</v>
      </c>
      <c r="D41" s="38">
        <f>SUM(D38:D40)</f>
        <v>1982.6</v>
      </c>
      <c r="K41" s="38">
        <f>SUM(K38:K40)</f>
        <v>0</v>
      </c>
    </row>
    <row r="42" spans="2:11" x14ac:dyDescent="0.2">
      <c r="C42" s="36" t="s">
        <v>57</v>
      </c>
      <c r="D42" s="36">
        <f>'AF Q4'!K50</f>
        <v>4260</v>
      </c>
    </row>
    <row r="43" spans="2:11" s="38" customFormat="1" x14ac:dyDescent="0.2">
      <c r="C43" s="38" t="s">
        <v>37</v>
      </c>
      <c r="D43" s="38">
        <f>SUM(D41:D42)</f>
        <v>6242.6</v>
      </c>
      <c r="K43" s="38">
        <f>SUM(K41:K42)</f>
        <v>0</v>
      </c>
    </row>
    <row r="45" spans="2:11" x14ac:dyDescent="0.2">
      <c r="C45" s="36" t="s">
        <v>58</v>
      </c>
      <c r="D45" s="36">
        <f>'AF Q4'!K53</f>
        <v>207</v>
      </c>
    </row>
    <row r="46" spans="2:11" x14ac:dyDescent="0.2">
      <c r="C46" s="36" t="s">
        <v>106</v>
      </c>
      <c r="D46" s="36">
        <f>'AF Q4'!K54</f>
        <v>6</v>
      </c>
    </row>
    <row r="47" spans="2:11" s="38" customFormat="1" x14ac:dyDescent="0.2">
      <c r="C47" s="38" t="s">
        <v>71</v>
      </c>
      <c r="D47" s="38">
        <f>SUM(D45:D46)</f>
        <v>213</v>
      </c>
      <c r="K47" s="38">
        <f>SUM(K45:K46)</f>
        <v>0</v>
      </c>
    </row>
    <row r="48" spans="2:11" x14ac:dyDescent="0.2">
      <c r="C48" s="36" t="s">
        <v>109</v>
      </c>
      <c r="D48" s="36">
        <f>'AF Q4'!K56</f>
        <v>2000</v>
      </c>
    </row>
    <row r="49" spans="3:11" s="38" customFormat="1" x14ac:dyDescent="0.2">
      <c r="C49" s="38" t="s">
        <v>74</v>
      </c>
      <c r="D49" s="38">
        <f>SUM(D47:D48)</f>
        <v>2213</v>
      </c>
      <c r="K49" s="38">
        <f>SUM(K47:K48)</f>
        <v>0</v>
      </c>
    </row>
    <row r="50" spans="3:11" x14ac:dyDescent="0.2">
      <c r="C50" s="36" t="s">
        <v>117</v>
      </c>
      <c r="D50" s="39">
        <v>1000</v>
      </c>
    </row>
    <row r="51" spans="3:11" x14ac:dyDescent="0.2">
      <c r="C51" s="36" t="s">
        <v>10</v>
      </c>
      <c r="D51" s="36">
        <f>'AF Q4'!K58-D50</f>
        <v>3029.6</v>
      </c>
    </row>
    <row r="52" spans="3:11" s="38" customFormat="1" x14ac:dyDescent="0.2">
      <c r="C52" s="38" t="s">
        <v>38</v>
      </c>
      <c r="D52" s="38">
        <f>SUM(D49:D51)</f>
        <v>6242.6</v>
      </c>
      <c r="K52" s="38">
        <f>SUM(K49:K51)</f>
        <v>0</v>
      </c>
    </row>
    <row r="53" spans="3:11" customFormat="1" x14ac:dyDescent="0.2"/>
    <row r="54" spans="3:11" customFormat="1" x14ac:dyDescent="0.2"/>
    <row r="55" spans="3:11" customFormat="1" x14ac:dyDescent="0.2"/>
    <row r="56" spans="3:11" customFormat="1" x14ac:dyDescent="0.2"/>
    <row r="57" spans="3:11" customFormat="1" x14ac:dyDescent="0.2"/>
    <row r="58" spans="3:11" customFormat="1" x14ac:dyDescent="0.2"/>
    <row r="59" spans="3:11" customFormat="1" x14ac:dyDescent="0.2"/>
    <row r="60" spans="3:11" customFormat="1" x14ac:dyDescent="0.2"/>
    <row r="61" spans="3:11" customFormat="1" x14ac:dyDescent="0.2"/>
    <row r="62" spans="3:11" customFormat="1" x14ac:dyDescent="0.2"/>
    <row r="63" spans="3:11" customFormat="1" x14ac:dyDescent="0.2"/>
    <row r="64" spans="3:11"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sheetData>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64"/>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36" customWidth="1"/>
    <col min="2" max="2" width="40.7109375" style="36" bestFit="1" customWidth="1"/>
    <col min="3" max="4" width="9.140625" style="36" customWidth="1"/>
    <col min="5" max="5" width="9.140625" style="36"/>
    <col min="6" max="9" width="9.140625" style="36"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0" s="14" customFormat="1" ht="30" x14ac:dyDescent="0.45">
      <c r="A1" s="9" t="str">
        <f>CoName</f>
        <v>Accounting fundamentals</v>
      </c>
      <c r="B1" s="10"/>
      <c r="C1" s="10"/>
      <c r="D1" s="11"/>
      <c r="E1" s="11"/>
      <c r="F1" s="11"/>
      <c r="G1" s="11"/>
      <c r="H1" s="11"/>
      <c r="I1" s="11"/>
      <c r="J1" s="11"/>
    </row>
    <row r="2" spans="1:10" s="14" customFormat="1" ht="19.5" thickBot="1" x14ac:dyDescent="0.35">
      <c r="A2" s="5" t="str">
        <f ca="1">"Question AF #"&amp;RIGHT(CELL("filename",$A$1),LEN(CELL("filename",$A$1))-FIND("]",CELL("filename",$A$1))-4)</f>
        <v>Question AF #6</v>
      </c>
      <c r="B2" s="12"/>
      <c r="C2" s="12"/>
      <c r="D2" s="13"/>
      <c r="E2" s="13"/>
      <c r="F2" s="13"/>
      <c r="G2" s="13"/>
      <c r="H2" s="13"/>
      <c r="I2" s="13"/>
      <c r="J2" s="13"/>
    </row>
    <row r="3" spans="1:10" ht="13.5" thickTop="1" x14ac:dyDescent="0.2"/>
    <row r="7" spans="1:10" x14ac:dyDescent="0.2">
      <c r="B7" s="38" t="s">
        <v>137</v>
      </c>
      <c r="C7" s="46">
        <v>1</v>
      </c>
      <c r="D7" s="46">
        <v>2</v>
      </c>
      <c r="E7" s="46">
        <v>3</v>
      </c>
      <c r="F7" s="46">
        <v>4</v>
      </c>
      <c r="G7" s="46">
        <v>5</v>
      </c>
      <c r="H7" s="46">
        <v>6</v>
      </c>
      <c r="I7" s="44" t="s">
        <v>24</v>
      </c>
    </row>
    <row r="8" spans="1:10" x14ac:dyDescent="0.2">
      <c r="B8" s="36" t="s">
        <v>25</v>
      </c>
    </row>
    <row r="9" spans="1:10" x14ac:dyDescent="0.2">
      <c r="B9" s="36" t="s">
        <v>118</v>
      </c>
    </row>
    <row r="10" spans="1:10" s="38" customFormat="1" x14ac:dyDescent="0.2">
      <c r="B10" s="38" t="s">
        <v>29</v>
      </c>
    </row>
    <row r="11" spans="1:10" x14ac:dyDescent="0.2">
      <c r="B11" s="36" t="s">
        <v>30</v>
      </c>
    </row>
    <row r="12" spans="1:10" s="38" customFormat="1" x14ac:dyDescent="0.2">
      <c r="B12" s="38" t="s">
        <v>31</v>
      </c>
    </row>
    <row r="13" spans="1:10" x14ac:dyDescent="0.2">
      <c r="B13" s="36" t="s">
        <v>32</v>
      </c>
    </row>
    <row r="14" spans="1:10" s="38" customFormat="1" x14ac:dyDescent="0.2">
      <c r="B14" s="38" t="s">
        <v>33</v>
      </c>
    </row>
    <row r="16" spans="1:10" x14ac:dyDescent="0.2">
      <c r="B16" s="36" t="s">
        <v>119</v>
      </c>
      <c r="I16" s="36">
        <f>'AF Q5'!D51</f>
        <v>3029.6</v>
      </c>
    </row>
    <row r="17" spans="2:9" x14ac:dyDescent="0.2">
      <c r="B17" s="36" t="s">
        <v>120</v>
      </c>
      <c r="I17" s="36">
        <f>I14</f>
        <v>0</v>
      </c>
    </row>
    <row r="18" spans="2:9" x14ac:dyDescent="0.2">
      <c r="B18" s="36" t="s">
        <v>121</v>
      </c>
      <c r="I18" s="36">
        <f>SUM(I16:I17)</f>
        <v>3029.6</v>
      </c>
    </row>
    <row r="19" spans="2:9" x14ac:dyDescent="0.2">
      <c r="B19" s="40" t="s">
        <v>42</v>
      </c>
      <c r="C19" s="41"/>
      <c r="D19" s="41"/>
      <c r="E19" s="41"/>
      <c r="F19" s="41"/>
      <c r="G19" s="41"/>
      <c r="H19" s="41"/>
      <c r="I19" s="42">
        <f>IF(I18='AF Q5'!K51,"OK",'AF Q6'!I18-'AF Q5'!K51)</f>
        <v>3029.6</v>
      </c>
    </row>
    <row r="20" spans="2:9" customFormat="1" x14ac:dyDescent="0.2"/>
    <row r="21" spans="2:9" customFormat="1" x14ac:dyDescent="0.2"/>
    <row r="22" spans="2:9" customFormat="1" x14ac:dyDescent="0.2"/>
    <row r="23" spans="2:9" customFormat="1" x14ac:dyDescent="0.2"/>
    <row r="24" spans="2:9" customFormat="1" x14ac:dyDescent="0.2"/>
    <row r="25" spans="2:9" customFormat="1" x14ac:dyDescent="0.2"/>
    <row r="26" spans="2:9" customFormat="1" x14ac:dyDescent="0.2"/>
    <row r="27" spans="2:9" customFormat="1" x14ac:dyDescent="0.2"/>
    <row r="28" spans="2:9" customFormat="1" x14ac:dyDescent="0.2"/>
    <row r="29" spans="2:9" customFormat="1" x14ac:dyDescent="0.2"/>
    <row r="30" spans="2:9" customFormat="1" x14ac:dyDescent="0.2"/>
    <row r="31" spans="2:9" customFormat="1" x14ac:dyDescent="0.2"/>
    <row r="32" spans="2:9"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39"/>
  <sheetViews>
    <sheetView showGridLines="0" zoomScaleNormal="100" workbookViewId="0">
      <pane ySplit="2" topLeftCell="A3" activePane="bottomLeft" state="frozen"/>
      <selection pane="bottomLeft"/>
    </sheetView>
  </sheetViews>
  <sheetFormatPr defaultColWidth="9.140625" defaultRowHeight="12.75" x14ac:dyDescent="0.2"/>
  <cols>
    <col min="1" max="1" width="1.7109375" style="36" customWidth="1"/>
    <col min="2" max="2" width="40.7109375" style="36" bestFit="1" customWidth="1"/>
    <col min="3" max="4" width="9.140625" style="36" customWidth="1"/>
    <col min="5" max="5" width="9.140625" style="36"/>
    <col min="6" max="9" width="9.140625" style="36" customWidth="1"/>
    <col min="10" max="11" width="9.140625" style="36"/>
    <col min="12" max="12" width="9.5703125" style="36" bestFit="1" customWidth="1"/>
    <col min="13" max="13" width="10.140625" style="36" bestFit="1" customWidth="1"/>
    <col min="14" max="14" width="9.5703125" style="36" bestFit="1" customWidth="1"/>
    <col min="15" max="15" width="9.140625" style="36"/>
    <col min="16" max="16" width="9.5703125" style="36" bestFit="1" customWidth="1"/>
    <col min="17" max="17" width="9.140625" style="36"/>
    <col min="18" max="18" width="9.5703125" style="36" bestFit="1" customWidth="1"/>
    <col min="19" max="19" width="10.140625" style="36" bestFit="1" customWidth="1"/>
    <col min="20" max="16384" width="9.140625" style="36"/>
  </cols>
  <sheetData>
    <row r="1" spans="1:12" s="14" customFormat="1" ht="30" x14ac:dyDescent="0.45">
      <c r="A1" s="9" t="str">
        <f>CoName</f>
        <v>Accounting fundamentals</v>
      </c>
      <c r="B1" s="10"/>
      <c r="C1" s="10"/>
      <c r="D1" s="11"/>
      <c r="E1" s="11"/>
      <c r="F1" s="11"/>
      <c r="G1" s="11"/>
      <c r="H1" s="11"/>
      <c r="I1" s="11"/>
      <c r="J1" s="11"/>
    </row>
    <row r="2" spans="1:12" s="14" customFormat="1" ht="19.5" thickBot="1" x14ac:dyDescent="0.35">
      <c r="A2" s="5" t="str">
        <f ca="1">"Question AF #"&amp;RIGHT(CELL("filename",$A$1),LEN(CELL("filename",$A$1))-FIND("]",CELL("filename",$A$1))-4)</f>
        <v>Question AF #7</v>
      </c>
      <c r="B2" s="12"/>
      <c r="C2" s="12"/>
      <c r="D2" s="13"/>
      <c r="E2" s="13"/>
      <c r="F2" s="13"/>
      <c r="G2" s="13"/>
      <c r="H2" s="13"/>
      <c r="I2" s="13"/>
      <c r="J2" s="13"/>
    </row>
    <row r="3" spans="1:12" ht="13.5" thickTop="1" x14ac:dyDescent="0.2"/>
    <row r="7" spans="1:12" s="38" customFormat="1" x14ac:dyDescent="0.2">
      <c r="B7" s="38" t="s">
        <v>136</v>
      </c>
      <c r="C7" s="46">
        <v>1</v>
      </c>
      <c r="D7" s="46">
        <v>2</v>
      </c>
      <c r="E7" s="46">
        <v>3</v>
      </c>
      <c r="F7" s="46">
        <v>4</v>
      </c>
      <c r="G7" s="46">
        <v>5</v>
      </c>
      <c r="H7" s="46">
        <v>6</v>
      </c>
      <c r="I7" s="46">
        <v>7</v>
      </c>
      <c r="J7" s="46">
        <v>8</v>
      </c>
      <c r="K7" s="46">
        <v>9</v>
      </c>
      <c r="L7" s="44" t="s">
        <v>24</v>
      </c>
    </row>
    <row r="8" spans="1:12" x14ac:dyDescent="0.2">
      <c r="B8" s="36" t="s">
        <v>39</v>
      </c>
    </row>
    <row r="9" spans="1:12" x14ac:dyDescent="0.2">
      <c r="B9" s="36" t="s">
        <v>122</v>
      </c>
    </row>
    <row r="10" spans="1:12" x14ac:dyDescent="0.2">
      <c r="B10" s="36" t="s">
        <v>123</v>
      </c>
    </row>
    <row r="11" spans="1:12" x14ac:dyDescent="0.2">
      <c r="B11" s="36" t="s">
        <v>124</v>
      </c>
    </row>
    <row r="12" spans="1:12" x14ac:dyDescent="0.2">
      <c r="B12" s="36" t="s">
        <v>125</v>
      </c>
    </row>
    <row r="14" spans="1:12" x14ac:dyDescent="0.2">
      <c r="B14" s="36" t="s">
        <v>126</v>
      </c>
    </row>
    <row r="16" spans="1:12" x14ac:dyDescent="0.2">
      <c r="B16" s="36" t="s">
        <v>127</v>
      </c>
    </row>
    <row r="18" spans="2:12" x14ac:dyDescent="0.2">
      <c r="B18" s="36" t="s">
        <v>41</v>
      </c>
    </row>
    <row r="20" spans="2:12" x14ac:dyDescent="0.2">
      <c r="B20" s="36" t="s">
        <v>128</v>
      </c>
      <c r="L20" s="36">
        <f>'AF Q4'!D46</f>
        <v>552</v>
      </c>
    </row>
    <row r="21" spans="2:12" x14ac:dyDescent="0.2">
      <c r="B21" s="36" t="s">
        <v>41</v>
      </c>
      <c r="L21" s="36">
        <f>L18</f>
        <v>0</v>
      </c>
    </row>
    <row r="22" spans="2:12" x14ac:dyDescent="0.2">
      <c r="B22" s="36" t="s">
        <v>129</v>
      </c>
      <c r="L22" s="36">
        <f>SUM(L20:L21)</f>
        <v>552</v>
      </c>
    </row>
    <row r="23" spans="2:12" x14ac:dyDescent="0.2">
      <c r="B23" s="40" t="s">
        <v>42</v>
      </c>
      <c r="C23" s="41"/>
      <c r="D23" s="41"/>
      <c r="E23" s="41"/>
      <c r="F23" s="41"/>
      <c r="G23" s="41"/>
      <c r="H23" s="41"/>
      <c r="L23" s="42">
        <f>IF(L22='AF Q5'!K38,"OK",'AF Q7'!L22-'AF Q5'!K38)</f>
        <v>552</v>
      </c>
    </row>
    <row r="24" spans="2:12" customFormat="1" x14ac:dyDescent="0.2"/>
    <row r="25" spans="2:12" customFormat="1" x14ac:dyDescent="0.2"/>
    <row r="26" spans="2:12" customFormat="1" x14ac:dyDescent="0.2"/>
    <row r="27" spans="2:12" customFormat="1" x14ac:dyDescent="0.2"/>
    <row r="28" spans="2:12" customFormat="1" x14ac:dyDescent="0.2"/>
    <row r="29" spans="2:12" customFormat="1" x14ac:dyDescent="0.2"/>
    <row r="30" spans="2:12" customFormat="1" x14ac:dyDescent="0.2"/>
    <row r="31" spans="2:12" customFormat="1" x14ac:dyDescent="0.2"/>
    <row r="32" spans="2:1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48"/>
  <sheetViews>
    <sheetView showGridLines="0" zoomScaleNormal="100" workbookViewId="0">
      <pane ySplit="2" topLeftCell="A3" activePane="bottomLeft" state="frozen"/>
      <selection pane="bottomLeft"/>
    </sheetView>
  </sheetViews>
  <sheetFormatPr defaultColWidth="9.28515625" defaultRowHeight="12.75" x14ac:dyDescent="0.2"/>
  <cols>
    <col min="1" max="1" width="1.7109375" style="14" customWidth="1"/>
    <col min="2" max="2" width="9.7109375" style="14" customWidth="1"/>
    <col min="3" max="3" width="10.7109375" style="14" bestFit="1" customWidth="1"/>
    <col min="4" max="4" width="10.28515625" style="14" bestFit="1" customWidth="1"/>
    <col min="5" max="5" width="9.28515625" style="14"/>
    <col min="6" max="6" width="17.28515625" style="14" bestFit="1" customWidth="1"/>
    <col min="7" max="7" width="10.28515625" style="14" bestFit="1" customWidth="1"/>
    <col min="8" max="9" width="9.5703125" style="14" bestFit="1" customWidth="1"/>
    <col min="10" max="11" width="9.28515625" style="14"/>
    <col min="12" max="12" width="9.5703125" style="14" bestFit="1" customWidth="1"/>
    <col min="13" max="13" width="10.28515625" style="14" bestFit="1" customWidth="1"/>
    <col min="14" max="14" width="9.5703125" style="14" bestFit="1" customWidth="1"/>
    <col min="15" max="15" width="9.28515625" style="14"/>
    <col min="16" max="17" width="9.5703125" style="14" bestFit="1" customWidth="1"/>
    <col min="18" max="18" width="10.28515625" style="14" bestFit="1" customWidth="1"/>
    <col min="19" max="16384" width="9.28515625" style="14"/>
  </cols>
  <sheetData>
    <row r="1" spans="1:10" ht="30" x14ac:dyDescent="0.45">
      <c r="A1" s="9" t="str">
        <f>CoName</f>
        <v>Accounting fundamentals</v>
      </c>
      <c r="B1" s="10"/>
      <c r="C1" s="10"/>
      <c r="D1" s="11"/>
      <c r="E1" s="11"/>
      <c r="F1" s="11"/>
      <c r="G1" s="11"/>
      <c r="H1" s="11"/>
      <c r="I1" s="11"/>
      <c r="J1" s="11"/>
    </row>
    <row r="2" spans="1:10" ht="19.5" thickBot="1" x14ac:dyDescent="0.35">
      <c r="A2" s="5" t="str">
        <f ca="1">"Question AF #"&amp;RIGHT(CELL("filename",$A$1),LEN(CELL("filename",$A$1))-FIND("]",CELL("filename",$A$1))-4)</f>
        <v>Question AF #8</v>
      </c>
      <c r="B2" s="12"/>
      <c r="C2" s="12"/>
      <c r="D2" s="13"/>
      <c r="E2" s="13"/>
      <c r="F2" s="13"/>
      <c r="G2" s="13"/>
      <c r="H2" s="13"/>
      <c r="I2" s="13"/>
      <c r="J2" s="13"/>
    </row>
    <row r="3" spans="1:10" ht="13.5" thickTop="1" x14ac:dyDescent="0.2"/>
    <row r="9" spans="1:10" x14ac:dyDescent="0.2">
      <c r="A9" s="27" t="s">
        <v>3</v>
      </c>
    </row>
    <row r="11" spans="1:10" x14ac:dyDescent="0.2">
      <c r="B11" s="31">
        <v>1</v>
      </c>
      <c r="C11" s="23" t="s">
        <v>4</v>
      </c>
      <c r="D11" s="23"/>
      <c r="E11" s="23"/>
      <c r="F11" s="23"/>
    </row>
    <row r="12" spans="1:10" x14ac:dyDescent="0.2">
      <c r="B12" s="32"/>
    </row>
    <row r="13" spans="1:10" x14ac:dyDescent="0.2">
      <c r="B13" s="32"/>
      <c r="C13" s="23" t="s">
        <v>5</v>
      </c>
      <c r="D13" s="23"/>
      <c r="E13" s="23" t="s">
        <v>6</v>
      </c>
      <c r="F13" s="23" t="s">
        <v>7</v>
      </c>
      <c r="G13" s="15"/>
    </row>
    <row r="14" spans="1:10" x14ac:dyDescent="0.2">
      <c r="B14" s="32"/>
      <c r="C14" s="24"/>
      <c r="D14" s="34"/>
      <c r="F14" s="24"/>
      <c r="G14" s="34"/>
    </row>
    <row r="15" spans="1:10" x14ac:dyDescent="0.2">
      <c r="B15" s="32"/>
      <c r="C15" s="24"/>
      <c r="D15" s="34"/>
      <c r="F15" s="24"/>
      <c r="G15" s="34"/>
    </row>
    <row r="16" spans="1:10" x14ac:dyDescent="0.2">
      <c r="B16" s="32"/>
      <c r="D16" s="32"/>
      <c r="G16" s="32"/>
    </row>
    <row r="17" spans="2:8" x14ac:dyDescent="0.2">
      <c r="B17" s="31">
        <v>2</v>
      </c>
      <c r="C17" s="23" t="s">
        <v>138</v>
      </c>
      <c r="D17" s="31"/>
      <c r="E17" s="23"/>
      <c r="G17" s="32"/>
    </row>
    <row r="18" spans="2:8" x14ac:dyDescent="0.2">
      <c r="B18" s="32"/>
      <c r="D18" s="32"/>
      <c r="G18" s="32"/>
    </row>
    <row r="19" spans="2:8" x14ac:dyDescent="0.2">
      <c r="B19" s="32"/>
      <c r="C19" s="23" t="s">
        <v>5</v>
      </c>
      <c r="D19" s="31"/>
      <c r="E19" s="23" t="s">
        <v>6</v>
      </c>
      <c r="F19" s="23" t="s">
        <v>7</v>
      </c>
      <c r="G19" s="35"/>
    </row>
    <row r="20" spans="2:8" x14ac:dyDescent="0.2">
      <c r="B20" s="32"/>
      <c r="C20" s="24"/>
      <c r="D20" s="34"/>
      <c r="F20" s="24"/>
      <c r="G20" s="34"/>
    </row>
    <row r="21" spans="2:8" x14ac:dyDescent="0.2">
      <c r="B21" s="32"/>
      <c r="C21" s="24"/>
      <c r="D21" s="34"/>
      <c r="F21" s="24"/>
      <c r="G21" s="34"/>
    </row>
    <row r="22" spans="2:8" x14ac:dyDescent="0.2">
      <c r="B22" s="32"/>
      <c r="D22" s="32"/>
      <c r="G22" s="32"/>
    </row>
    <row r="23" spans="2:8" x14ac:dyDescent="0.2">
      <c r="B23" s="31">
        <v>3</v>
      </c>
      <c r="C23" s="23" t="s">
        <v>11</v>
      </c>
      <c r="D23" s="31"/>
      <c r="E23" s="23"/>
      <c r="F23" s="23"/>
      <c r="G23" s="31"/>
      <c r="H23" s="23"/>
    </row>
    <row r="24" spans="2:8" x14ac:dyDescent="0.2">
      <c r="B24" s="32"/>
      <c r="D24" s="32"/>
      <c r="G24" s="32"/>
    </row>
    <row r="25" spans="2:8" x14ac:dyDescent="0.2">
      <c r="B25" s="32"/>
      <c r="C25" s="23" t="s">
        <v>5</v>
      </c>
      <c r="D25" s="31"/>
      <c r="E25" s="23" t="s">
        <v>6</v>
      </c>
      <c r="F25" s="23" t="s">
        <v>7</v>
      </c>
      <c r="G25" s="35"/>
    </row>
    <row r="26" spans="2:8" x14ac:dyDescent="0.2">
      <c r="B26" s="32"/>
      <c r="C26" s="24"/>
      <c r="D26" s="34"/>
      <c r="F26" s="24"/>
      <c r="G26" s="34"/>
    </row>
    <row r="27" spans="2:8" x14ac:dyDescent="0.2">
      <c r="B27" s="32"/>
      <c r="C27" s="24"/>
      <c r="D27" s="34"/>
      <c r="F27" s="24"/>
      <c r="G27" s="34"/>
    </row>
    <row r="28" spans="2:8" x14ac:dyDescent="0.2">
      <c r="B28" s="32"/>
      <c r="D28" s="32"/>
      <c r="G28" s="32"/>
    </row>
    <row r="29" spans="2:8" x14ac:dyDescent="0.2">
      <c r="B29" s="31">
        <v>4</v>
      </c>
      <c r="C29" s="23" t="s">
        <v>13</v>
      </c>
      <c r="D29" s="31"/>
      <c r="E29" s="23"/>
      <c r="F29" s="23"/>
      <c r="G29" s="31"/>
    </row>
    <row r="30" spans="2:8" x14ac:dyDescent="0.2">
      <c r="B30" s="32"/>
      <c r="D30" s="32"/>
      <c r="G30" s="32"/>
    </row>
    <row r="31" spans="2:8" x14ac:dyDescent="0.2">
      <c r="B31" s="32"/>
      <c r="C31" s="23" t="s">
        <v>5</v>
      </c>
      <c r="D31" s="31"/>
      <c r="E31" s="23" t="s">
        <v>6</v>
      </c>
      <c r="F31" s="23" t="s">
        <v>7</v>
      </c>
      <c r="G31" s="35"/>
    </row>
    <row r="32" spans="2:8" x14ac:dyDescent="0.2">
      <c r="B32" s="32"/>
      <c r="C32" s="24"/>
      <c r="D32" s="34"/>
      <c r="F32" s="24"/>
      <c r="G32" s="34"/>
    </row>
    <row r="33" spans="2:7" x14ac:dyDescent="0.2">
      <c r="B33" s="32"/>
      <c r="C33" s="24"/>
      <c r="D33" s="34"/>
      <c r="F33" s="24"/>
      <c r="G33" s="34"/>
    </row>
    <row r="34" spans="2:7" x14ac:dyDescent="0.2">
      <c r="B34" s="32"/>
      <c r="D34" s="32"/>
      <c r="G34" s="32"/>
    </row>
    <row r="35" spans="2:7" x14ac:dyDescent="0.2">
      <c r="B35" s="31">
        <v>5</v>
      </c>
      <c r="C35" s="23" t="s">
        <v>15</v>
      </c>
      <c r="D35" s="31"/>
      <c r="E35" s="23"/>
      <c r="F35" s="23"/>
      <c r="G35" s="32"/>
    </row>
    <row r="36" spans="2:7" x14ac:dyDescent="0.2">
      <c r="B36" s="32"/>
      <c r="D36" s="32"/>
      <c r="G36" s="32"/>
    </row>
    <row r="37" spans="2:7" x14ac:dyDescent="0.2">
      <c r="B37" s="32"/>
      <c r="C37" s="23" t="s">
        <v>5</v>
      </c>
      <c r="D37" s="31"/>
      <c r="E37" s="23" t="s">
        <v>6</v>
      </c>
      <c r="F37" s="23" t="s">
        <v>7</v>
      </c>
      <c r="G37" s="35"/>
    </row>
    <row r="38" spans="2:7" x14ac:dyDescent="0.2">
      <c r="B38" s="32"/>
      <c r="C38" s="24"/>
      <c r="D38" s="34"/>
      <c r="F38" s="24"/>
      <c r="G38" s="34"/>
    </row>
    <row r="39" spans="2:7" x14ac:dyDescent="0.2">
      <c r="B39" s="32"/>
      <c r="C39" s="24"/>
      <c r="D39" s="34"/>
      <c r="F39" s="24"/>
      <c r="G39" s="34"/>
    </row>
    <row r="40" spans="2:7" x14ac:dyDescent="0.2">
      <c r="B40" s="32"/>
      <c r="D40" s="32"/>
      <c r="G40" s="32"/>
    </row>
    <row r="41" spans="2:7" x14ac:dyDescent="0.2">
      <c r="B41" s="31">
        <v>6</v>
      </c>
      <c r="C41" s="23" t="s">
        <v>16</v>
      </c>
      <c r="D41" s="31"/>
      <c r="E41" s="23"/>
      <c r="F41" s="23"/>
      <c r="G41" s="32"/>
    </row>
    <row r="42" spans="2:7" x14ac:dyDescent="0.2">
      <c r="B42" s="32"/>
      <c r="D42" s="32"/>
      <c r="G42" s="32"/>
    </row>
    <row r="43" spans="2:7" x14ac:dyDescent="0.2">
      <c r="B43" s="32"/>
      <c r="C43" s="23" t="s">
        <v>5</v>
      </c>
      <c r="D43" s="31"/>
      <c r="E43" s="23" t="s">
        <v>6</v>
      </c>
      <c r="F43" s="23" t="s">
        <v>7</v>
      </c>
      <c r="G43" s="35"/>
    </row>
    <row r="44" spans="2:7" x14ac:dyDescent="0.2">
      <c r="B44" s="32"/>
      <c r="C44" s="24"/>
      <c r="D44" s="34"/>
      <c r="F44" s="24"/>
      <c r="G44" s="34"/>
    </row>
    <row r="45" spans="2:7" x14ac:dyDescent="0.2">
      <c r="B45" s="32"/>
      <c r="C45" s="24"/>
      <c r="D45" s="34"/>
      <c r="F45" s="24"/>
      <c r="G45" s="34"/>
    </row>
    <row r="46" spans="2:7" x14ac:dyDescent="0.2">
      <c r="B46" s="32"/>
      <c r="D46" s="32"/>
      <c r="G46" s="32"/>
    </row>
    <row r="47" spans="2:7" x14ac:dyDescent="0.2">
      <c r="B47" s="31">
        <v>7</v>
      </c>
      <c r="C47" s="23" t="s">
        <v>18</v>
      </c>
      <c r="D47" s="31"/>
      <c r="E47" s="23"/>
      <c r="F47" s="23"/>
      <c r="G47" s="32"/>
    </row>
    <row r="48" spans="2:7" x14ac:dyDescent="0.2">
      <c r="B48" s="32"/>
      <c r="D48" s="32"/>
      <c r="G48" s="32"/>
    </row>
    <row r="49" spans="2:7" x14ac:dyDescent="0.2">
      <c r="B49" s="32"/>
      <c r="C49" s="15" t="s">
        <v>5</v>
      </c>
      <c r="D49" s="35"/>
      <c r="E49" s="15" t="s">
        <v>6</v>
      </c>
      <c r="F49" s="15" t="s">
        <v>7</v>
      </c>
      <c r="G49" s="35"/>
    </row>
    <row r="50" spans="2:7" x14ac:dyDescent="0.2">
      <c r="B50" s="32"/>
      <c r="C50" s="24"/>
      <c r="D50" s="34"/>
      <c r="F50" s="24"/>
      <c r="G50" s="34"/>
    </row>
    <row r="51" spans="2:7" x14ac:dyDescent="0.2">
      <c r="B51" s="32"/>
      <c r="C51" s="24"/>
      <c r="D51" s="34"/>
      <c r="F51" s="24"/>
      <c r="G51" s="34"/>
    </row>
    <row r="52" spans="2:7" x14ac:dyDescent="0.2">
      <c r="B52" s="32"/>
      <c r="D52" s="32"/>
      <c r="G52" s="32"/>
    </row>
    <row r="53" spans="2:7" x14ac:dyDescent="0.2">
      <c r="B53" s="31">
        <v>8</v>
      </c>
      <c r="C53" s="23" t="s">
        <v>19</v>
      </c>
      <c r="D53" s="31"/>
      <c r="E53" s="23"/>
      <c r="F53" s="23"/>
      <c r="G53" s="32"/>
    </row>
    <row r="54" spans="2:7" x14ac:dyDescent="0.2">
      <c r="B54" s="32"/>
      <c r="D54" s="32"/>
      <c r="G54" s="32"/>
    </row>
    <row r="55" spans="2:7" x14ac:dyDescent="0.2">
      <c r="B55" s="32"/>
      <c r="C55" s="23" t="s">
        <v>5</v>
      </c>
      <c r="D55" s="31"/>
      <c r="E55" s="23" t="s">
        <v>6</v>
      </c>
      <c r="F55" s="23" t="s">
        <v>7</v>
      </c>
      <c r="G55" s="35"/>
    </row>
    <row r="56" spans="2:7" x14ac:dyDescent="0.2">
      <c r="B56" s="32"/>
      <c r="C56" s="24"/>
      <c r="D56" s="34"/>
      <c r="F56" s="24"/>
      <c r="G56" s="34"/>
    </row>
    <row r="57" spans="2:7" x14ac:dyDescent="0.2">
      <c r="B57" s="32"/>
      <c r="C57" s="24"/>
      <c r="D57" s="34"/>
      <c r="F57" s="24"/>
      <c r="G57" s="34"/>
    </row>
    <row r="58" spans="2:7" x14ac:dyDescent="0.2">
      <c r="B58" s="32"/>
      <c r="D58" s="32"/>
      <c r="G58" s="32"/>
    </row>
    <row r="59" spans="2:7" x14ac:dyDescent="0.2">
      <c r="B59" s="31">
        <v>9</v>
      </c>
      <c r="C59" s="23" t="s">
        <v>20</v>
      </c>
      <c r="D59" s="31"/>
      <c r="E59" s="23"/>
      <c r="F59" s="23"/>
      <c r="G59" s="32"/>
    </row>
    <row r="60" spans="2:7" x14ac:dyDescent="0.2">
      <c r="B60" s="32"/>
      <c r="D60" s="32"/>
      <c r="G60" s="32"/>
    </row>
    <row r="61" spans="2:7" x14ac:dyDescent="0.2">
      <c r="B61" s="32"/>
      <c r="C61" s="23" t="s">
        <v>5</v>
      </c>
      <c r="D61" s="31"/>
      <c r="E61" s="23" t="s">
        <v>6</v>
      </c>
      <c r="F61" s="23" t="s">
        <v>7</v>
      </c>
      <c r="G61" s="35"/>
    </row>
    <row r="62" spans="2:7" x14ac:dyDescent="0.2">
      <c r="B62" s="32"/>
      <c r="C62" s="24"/>
      <c r="D62" s="34"/>
      <c r="F62" s="24"/>
      <c r="G62" s="34"/>
    </row>
    <row r="63" spans="2:7" x14ac:dyDescent="0.2">
      <c r="B63" s="32"/>
      <c r="C63" s="24"/>
      <c r="D63" s="34"/>
      <c r="F63" s="24"/>
      <c r="G63" s="34"/>
    </row>
    <row r="64" spans="2:7" x14ac:dyDescent="0.2">
      <c r="B64" s="32"/>
      <c r="D64" s="32"/>
      <c r="G64" s="32"/>
    </row>
    <row r="65" spans="1:18" x14ac:dyDescent="0.2">
      <c r="B65" s="31">
        <v>10</v>
      </c>
      <c r="C65" s="23" t="s">
        <v>21</v>
      </c>
      <c r="D65" s="31"/>
      <c r="E65" s="23"/>
      <c r="F65" s="23"/>
      <c r="G65" s="32"/>
    </row>
    <row r="66" spans="1:18" x14ac:dyDescent="0.2">
      <c r="D66" s="32"/>
      <c r="G66" s="32"/>
    </row>
    <row r="67" spans="1:18" x14ac:dyDescent="0.2">
      <c r="C67" s="23" t="s">
        <v>5</v>
      </c>
      <c r="D67" s="31"/>
      <c r="E67" s="23" t="s">
        <v>6</v>
      </c>
      <c r="F67" s="23" t="s">
        <v>7</v>
      </c>
      <c r="G67" s="35"/>
    </row>
    <row r="68" spans="1:18" x14ac:dyDescent="0.2">
      <c r="C68" s="24"/>
      <c r="D68" s="34"/>
      <c r="F68" s="24"/>
      <c r="G68" s="34"/>
    </row>
    <row r="69" spans="1:18" x14ac:dyDescent="0.2">
      <c r="C69" s="24"/>
      <c r="D69" s="24"/>
      <c r="F69" s="24"/>
      <c r="G69" s="24"/>
    </row>
    <row r="71" spans="1:18" x14ac:dyDescent="0.2">
      <c r="A71" s="27" t="s">
        <v>22</v>
      </c>
    </row>
    <row r="73" spans="1:18" s="16" customFormat="1" x14ac:dyDescent="0.2">
      <c r="B73" s="16" t="s">
        <v>23</v>
      </c>
      <c r="G73" s="30">
        <v>1</v>
      </c>
      <c r="H73" s="30">
        <f>G73+1</f>
        <v>2</v>
      </c>
      <c r="I73" s="30">
        <f t="shared" ref="I73:L73" si="0">H73+1</f>
        <v>3</v>
      </c>
      <c r="J73" s="30">
        <f t="shared" si="0"/>
        <v>4</v>
      </c>
      <c r="K73" s="30">
        <f t="shared" si="0"/>
        <v>5</v>
      </c>
      <c r="L73" s="30">
        <f t="shared" si="0"/>
        <v>6</v>
      </c>
      <c r="M73" s="33" t="s">
        <v>99</v>
      </c>
      <c r="N73" s="33" t="s">
        <v>100</v>
      </c>
      <c r="O73" s="30">
        <v>8</v>
      </c>
      <c r="P73" s="30">
        <f>O73+1</f>
        <v>9</v>
      </c>
      <c r="Q73" s="30">
        <f>P73+1</f>
        <v>10</v>
      </c>
      <c r="R73" s="22" t="s">
        <v>24</v>
      </c>
    </row>
    <row r="74" spans="1:18" x14ac:dyDescent="0.2">
      <c r="B74" s="23" t="s">
        <v>25</v>
      </c>
      <c r="C74" s="23"/>
      <c r="D74" s="23"/>
      <c r="G74" s="32"/>
      <c r="H74" s="32"/>
      <c r="I74" s="32"/>
      <c r="J74" s="32"/>
      <c r="K74" s="32"/>
      <c r="L74" s="32"/>
      <c r="M74" s="32"/>
      <c r="N74" s="32"/>
      <c r="O74" s="32"/>
      <c r="P74" s="32"/>
      <c r="Q74" s="32"/>
      <c r="R74" s="32">
        <f>SUM(G74:Q74)</f>
        <v>0</v>
      </c>
    </row>
    <row r="75" spans="1:18" x14ac:dyDescent="0.2">
      <c r="B75" s="23" t="s">
        <v>26</v>
      </c>
      <c r="C75" s="23"/>
      <c r="D75" s="23"/>
      <c r="G75" s="32"/>
      <c r="H75" s="32"/>
      <c r="I75" s="32"/>
      <c r="J75" s="32"/>
      <c r="K75" s="32"/>
      <c r="L75" s="32"/>
      <c r="M75" s="32"/>
      <c r="N75" s="32"/>
      <c r="O75" s="32"/>
      <c r="P75" s="32"/>
      <c r="Q75" s="32"/>
      <c r="R75" s="32">
        <f>SUM(G75:Q75)</f>
        <v>0</v>
      </c>
    </row>
    <row r="76" spans="1:18" s="16" customFormat="1" x14ac:dyDescent="0.2">
      <c r="B76" s="16" t="s">
        <v>27</v>
      </c>
      <c r="G76" s="30"/>
      <c r="H76" s="30"/>
      <c r="I76" s="30"/>
      <c r="J76" s="30"/>
      <c r="K76" s="30"/>
      <c r="L76" s="30"/>
      <c r="M76" s="30"/>
      <c r="N76" s="30"/>
      <c r="O76" s="30"/>
      <c r="P76" s="30"/>
      <c r="Q76" s="30"/>
      <c r="R76" s="30">
        <f>SUM(R74:R75)</f>
        <v>0</v>
      </c>
    </row>
    <row r="77" spans="1:18" x14ac:dyDescent="0.2">
      <c r="B77" s="23" t="s">
        <v>28</v>
      </c>
      <c r="C77" s="23"/>
      <c r="D77" s="23"/>
      <c r="G77" s="32"/>
      <c r="H77" s="32"/>
      <c r="I77" s="32"/>
      <c r="J77" s="32"/>
      <c r="K77" s="32"/>
      <c r="L77" s="32"/>
      <c r="M77" s="32"/>
      <c r="N77" s="32"/>
      <c r="O77" s="32"/>
      <c r="P77" s="32"/>
      <c r="Q77" s="32"/>
      <c r="R77" s="32">
        <f>SUM(G77:Q77)</f>
        <v>0</v>
      </c>
    </row>
    <row r="78" spans="1:18" s="16" customFormat="1" x14ac:dyDescent="0.2">
      <c r="B78" s="16" t="s">
        <v>29</v>
      </c>
      <c r="G78" s="30"/>
      <c r="H78" s="30"/>
      <c r="I78" s="30"/>
      <c r="J78" s="30"/>
      <c r="K78" s="30"/>
      <c r="L78" s="30"/>
      <c r="M78" s="30"/>
      <c r="N78" s="30"/>
      <c r="O78" s="30"/>
      <c r="P78" s="30"/>
      <c r="Q78" s="30"/>
      <c r="R78" s="30">
        <f>SUM(R76:R77)</f>
        <v>0</v>
      </c>
    </row>
    <row r="79" spans="1:18" x14ac:dyDescent="0.2">
      <c r="B79" s="23" t="s">
        <v>30</v>
      </c>
      <c r="C79" s="23"/>
      <c r="D79" s="23"/>
      <c r="G79" s="32"/>
      <c r="H79" s="32"/>
      <c r="I79" s="32"/>
      <c r="J79" s="32"/>
      <c r="K79" s="32"/>
      <c r="L79" s="32"/>
      <c r="M79" s="32"/>
      <c r="N79" s="32"/>
      <c r="O79" s="32"/>
      <c r="P79" s="32"/>
      <c r="Q79" s="32"/>
      <c r="R79" s="32">
        <f>SUM(G79:Q79)</f>
        <v>0</v>
      </c>
    </row>
    <row r="80" spans="1:18" s="16" customFormat="1" x14ac:dyDescent="0.2">
      <c r="B80" s="16" t="s">
        <v>31</v>
      </c>
      <c r="G80" s="30"/>
      <c r="H80" s="30"/>
      <c r="I80" s="30"/>
      <c r="J80" s="30"/>
      <c r="K80" s="30"/>
      <c r="L80" s="30"/>
      <c r="M80" s="30"/>
      <c r="N80" s="30"/>
      <c r="O80" s="30"/>
      <c r="P80" s="30"/>
      <c r="Q80" s="30"/>
      <c r="R80" s="30">
        <f>SUM(R78:R79)</f>
        <v>0</v>
      </c>
    </row>
    <row r="81" spans="1:18" x14ac:dyDescent="0.2">
      <c r="B81" s="23" t="s">
        <v>32</v>
      </c>
      <c r="C81" s="23"/>
      <c r="D81" s="23"/>
      <c r="E81" s="25">
        <v>0.3</v>
      </c>
      <c r="G81" s="32"/>
      <c r="H81" s="32"/>
      <c r="I81" s="32"/>
      <c r="J81" s="32"/>
      <c r="K81" s="32"/>
      <c r="L81" s="32"/>
      <c r="M81" s="32"/>
      <c r="N81" s="32"/>
      <c r="O81" s="32"/>
      <c r="P81" s="32"/>
      <c r="Q81" s="32"/>
      <c r="R81" s="32">
        <f>SUM(G81:Q81)</f>
        <v>0</v>
      </c>
    </row>
    <row r="82" spans="1:18" s="16" customFormat="1" x14ac:dyDescent="0.2">
      <c r="B82" s="16" t="s">
        <v>33</v>
      </c>
      <c r="G82" s="30"/>
      <c r="H82" s="30"/>
      <c r="I82" s="30"/>
      <c r="J82" s="30"/>
      <c r="K82" s="30"/>
      <c r="L82" s="30"/>
      <c r="M82" s="30"/>
      <c r="N82" s="30"/>
      <c r="O82" s="30"/>
      <c r="P82" s="30"/>
      <c r="Q82" s="30"/>
      <c r="R82" s="30">
        <f>SUM(R80:R81)</f>
        <v>0</v>
      </c>
    </row>
    <row r="84" spans="1:18" x14ac:dyDescent="0.2">
      <c r="B84" s="16" t="s">
        <v>34</v>
      </c>
      <c r="C84" s="23"/>
      <c r="F84" s="22" t="s">
        <v>35</v>
      </c>
      <c r="G84" s="30">
        <f>G73</f>
        <v>1</v>
      </c>
      <c r="H84" s="30">
        <f t="shared" ref="H84:Q84" si="1">H73</f>
        <v>2</v>
      </c>
      <c r="I84" s="30">
        <f t="shared" si="1"/>
        <v>3</v>
      </c>
      <c r="J84" s="30">
        <f t="shared" si="1"/>
        <v>4</v>
      </c>
      <c r="K84" s="30">
        <f t="shared" si="1"/>
        <v>5</v>
      </c>
      <c r="L84" s="30">
        <f t="shared" si="1"/>
        <v>6</v>
      </c>
      <c r="M84" s="29" t="str">
        <f t="shared" si="1"/>
        <v>7 a)</v>
      </c>
      <c r="N84" s="29" t="str">
        <f t="shared" si="1"/>
        <v>7 b)</v>
      </c>
      <c r="O84" s="30">
        <f t="shared" si="1"/>
        <v>8</v>
      </c>
      <c r="P84" s="30">
        <f t="shared" si="1"/>
        <v>9</v>
      </c>
      <c r="Q84" s="30">
        <f t="shared" si="1"/>
        <v>10</v>
      </c>
      <c r="R84" s="22" t="s">
        <v>36</v>
      </c>
    </row>
    <row r="85" spans="1:18" x14ac:dyDescent="0.2">
      <c r="B85" s="23" t="s">
        <v>8</v>
      </c>
      <c r="C85" s="23"/>
      <c r="F85" s="26">
        <v>0</v>
      </c>
      <c r="G85" s="32"/>
      <c r="H85" s="32"/>
      <c r="I85" s="32"/>
      <c r="J85" s="32"/>
      <c r="K85" s="32"/>
      <c r="L85" s="32"/>
      <c r="M85" s="32"/>
      <c r="N85" s="32"/>
      <c r="O85" s="32"/>
      <c r="P85" s="32"/>
      <c r="Q85" s="32"/>
      <c r="R85" s="32">
        <f>SUM(F85:Q85)</f>
        <v>0</v>
      </c>
    </row>
    <row r="86" spans="1:18" x14ac:dyDescent="0.2">
      <c r="B86" s="23" t="s">
        <v>12</v>
      </c>
      <c r="C86" s="23"/>
      <c r="F86" s="26">
        <v>0</v>
      </c>
      <c r="G86" s="32"/>
      <c r="H86" s="32"/>
      <c r="I86" s="32"/>
      <c r="J86" s="32"/>
      <c r="K86" s="32"/>
      <c r="L86" s="32"/>
      <c r="M86" s="32"/>
      <c r="N86" s="32"/>
      <c r="O86" s="32"/>
      <c r="P86" s="32"/>
      <c r="Q86" s="32"/>
      <c r="R86" s="32">
        <f>SUM(F86:Q86)</f>
        <v>0</v>
      </c>
    </row>
    <row r="87" spans="1:18" x14ac:dyDescent="0.2">
      <c r="B87" s="23" t="s">
        <v>17</v>
      </c>
      <c r="C87" s="23"/>
      <c r="F87" s="26">
        <v>0</v>
      </c>
      <c r="G87" s="32"/>
      <c r="H87" s="32"/>
      <c r="I87" s="32"/>
      <c r="J87" s="32"/>
      <c r="K87" s="32"/>
      <c r="L87" s="32"/>
      <c r="M87" s="32"/>
      <c r="N87" s="32"/>
      <c r="O87" s="32"/>
      <c r="P87" s="32"/>
      <c r="Q87" s="32"/>
      <c r="R87" s="32">
        <f>SUM(F87:Q87)</f>
        <v>0</v>
      </c>
    </row>
    <row r="88" spans="1:18" s="16" customFormat="1" x14ac:dyDescent="0.2">
      <c r="B88" s="16" t="s">
        <v>37</v>
      </c>
      <c r="F88" s="16">
        <f>SUM(F85:F87)</f>
        <v>0</v>
      </c>
      <c r="G88" s="30"/>
      <c r="H88" s="30"/>
      <c r="I88" s="30"/>
      <c r="J88" s="30"/>
      <c r="K88" s="30"/>
      <c r="L88" s="30"/>
      <c r="M88" s="30"/>
      <c r="N88" s="30"/>
      <c r="O88" s="30"/>
      <c r="P88" s="30"/>
      <c r="Q88" s="30"/>
      <c r="R88" s="30">
        <f>SUM(R85:R87)</f>
        <v>0</v>
      </c>
    </row>
    <row r="89" spans="1:18" x14ac:dyDescent="0.2">
      <c r="B89" s="23"/>
      <c r="C89" s="23"/>
      <c r="G89" s="32"/>
      <c r="H89" s="32"/>
      <c r="I89" s="32"/>
      <c r="J89" s="32"/>
      <c r="K89" s="32"/>
      <c r="L89" s="32"/>
      <c r="M89" s="32"/>
      <c r="N89" s="32"/>
      <c r="O89" s="32"/>
      <c r="P89" s="32"/>
      <c r="Q89" s="32"/>
      <c r="R89" s="32"/>
    </row>
    <row r="90" spans="1:18" x14ac:dyDescent="0.2">
      <c r="B90" s="23" t="s">
        <v>14</v>
      </c>
      <c r="C90" s="23"/>
      <c r="F90" s="26">
        <v>0</v>
      </c>
      <c r="G90" s="32"/>
      <c r="H90" s="32"/>
      <c r="I90" s="32"/>
      <c r="J90" s="32"/>
      <c r="K90" s="32"/>
      <c r="L90" s="32"/>
      <c r="M90" s="32"/>
      <c r="N90" s="32"/>
      <c r="O90" s="32"/>
      <c r="P90" s="32"/>
      <c r="Q90" s="32"/>
      <c r="R90" s="32">
        <f>SUM(F90:Q90)</f>
        <v>0</v>
      </c>
    </row>
    <row r="91" spans="1:18" x14ac:dyDescent="0.2">
      <c r="B91" s="23" t="s">
        <v>9</v>
      </c>
      <c r="C91" s="23"/>
      <c r="F91" s="26">
        <v>0</v>
      </c>
      <c r="G91" s="32"/>
      <c r="H91" s="32"/>
      <c r="I91" s="32"/>
      <c r="J91" s="32"/>
      <c r="K91" s="32"/>
      <c r="L91" s="32"/>
      <c r="M91" s="32"/>
      <c r="N91" s="32"/>
      <c r="O91" s="32"/>
      <c r="P91" s="32"/>
      <c r="Q91" s="32"/>
      <c r="R91" s="32">
        <f>SUM(F91:Q91)</f>
        <v>0</v>
      </c>
    </row>
    <row r="92" spans="1:18" x14ac:dyDescent="0.2">
      <c r="B92" s="23" t="s">
        <v>10</v>
      </c>
      <c r="C92" s="23"/>
      <c r="F92" s="26">
        <v>0</v>
      </c>
      <c r="G92" s="32"/>
      <c r="H92" s="32"/>
      <c r="I92" s="32"/>
      <c r="J92" s="32"/>
      <c r="K92" s="32"/>
      <c r="L92" s="32"/>
      <c r="M92" s="32"/>
      <c r="N92" s="32"/>
      <c r="O92" s="32"/>
      <c r="P92" s="32"/>
      <c r="Q92" s="32"/>
      <c r="R92" s="32">
        <f>SUM(F92:Q92)</f>
        <v>0</v>
      </c>
    </row>
    <row r="93" spans="1:18" s="16" customFormat="1" x14ac:dyDescent="0.2">
      <c r="B93" s="16" t="s">
        <v>38</v>
      </c>
      <c r="F93" s="16">
        <f>SUM(F90:F92)</f>
        <v>0</v>
      </c>
      <c r="G93" s="30"/>
      <c r="H93" s="30"/>
      <c r="I93" s="30"/>
      <c r="J93" s="30"/>
      <c r="K93" s="30"/>
      <c r="L93" s="30"/>
      <c r="M93" s="30"/>
      <c r="N93" s="30"/>
      <c r="O93" s="30"/>
      <c r="P93" s="30"/>
      <c r="Q93" s="30"/>
      <c r="R93" s="30">
        <f>SUM(R90:R92)</f>
        <v>0</v>
      </c>
    </row>
    <row r="94" spans="1:18" x14ac:dyDescent="0.2">
      <c r="B94" s="23"/>
      <c r="C94" s="23"/>
    </row>
    <row r="95" spans="1:18" x14ac:dyDescent="0.2">
      <c r="A95" s="16" t="s">
        <v>40</v>
      </c>
      <c r="B95" s="23"/>
      <c r="C95" s="23"/>
    </row>
    <row r="96" spans="1:18" x14ac:dyDescent="0.2">
      <c r="A96" s="23"/>
      <c r="B96" s="23"/>
      <c r="C96" s="23"/>
    </row>
    <row r="97" spans="2:18" x14ac:dyDescent="0.2">
      <c r="B97" s="16" t="s">
        <v>10</v>
      </c>
      <c r="C97" s="23"/>
      <c r="D97" s="23"/>
    </row>
    <row r="98" spans="2:18" x14ac:dyDescent="0.2">
      <c r="B98" s="23" t="s">
        <v>43</v>
      </c>
      <c r="C98" s="23"/>
      <c r="D98" s="23"/>
      <c r="R98" s="32">
        <f>F92</f>
        <v>0</v>
      </c>
    </row>
    <row r="99" spans="2:18" x14ac:dyDescent="0.2">
      <c r="B99" s="23" t="s">
        <v>44</v>
      </c>
      <c r="C99" s="23"/>
      <c r="D99" s="23"/>
      <c r="R99" s="32">
        <f>R82</f>
        <v>0</v>
      </c>
    </row>
    <row r="100" spans="2:18" x14ac:dyDescent="0.2">
      <c r="B100" s="23" t="s">
        <v>45</v>
      </c>
      <c r="C100" s="23"/>
      <c r="D100" s="23"/>
      <c r="R100" s="34">
        <v>0</v>
      </c>
    </row>
    <row r="101" spans="2:18" s="16" customFormat="1" x14ac:dyDescent="0.2">
      <c r="B101" s="16" t="s">
        <v>46</v>
      </c>
      <c r="R101" s="30">
        <f>SUM(R98:R100)</f>
        <v>0</v>
      </c>
    </row>
    <row r="102" spans="2:18" x14ac:dyDescent="0.2">
      <c r="B102" s="19" t="s">
        <v>42</v>
      </c>
      <c r="R102" s="20" t="str">
        <f>IF(R101=R92,"OK",R101-R92)</f>
        <v>OK</v>
      </c>
    </row>
    <row r="103" spans="2:18" customFormat="1" x14ac:dyDescent="0.2"/>
    <row r="104" spans="2:18" customFormat="1" x14ac:dyDescent="0.2"/>
    <row r="105" spans="2:18" customFormat="1" x14ac:dyDescent="0.2"/>
    <row r="106" spans="2:18" customFormat="1" x14ac:dyDescent="0.2"/>
    <row r="107" spans="2:18" customFormat="1" x14ac:dyDescent="0.2"/>
    <row r="108" spans="2:18" customFormat="1" x14ac:dyDescent="0.2"/>
    <row r="109" spans="2:18" customFormat="1" x14ac:dyDescent="0.2"/>
    <row r="110" spans="2:18" customFormat="1" x14ac:dyDescent="0.2"/>
    <row r="111" spans="2:18" customFormat="1" x14ac:dyDescent="0.2"/>
    <row r="112" spans="2:18"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sheetData>
  <pageMargins left="0.75" right="0.75" top="1" bottom="1" header="0.5" footer="0.5"/>
  <pageSetup orientation="portrait" r:id="rId1"/>
  <headerFooter alignWithMargins="0">
    <oddFooter>&amp;L&amp;8© AMT Training 2008 - 2016</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MTO_x0020_Back_x0020_up_x0020_Deleted xmlns="3af0eaf5-d15a-4ca0-bab1-c2f6d7551579" xsi:nil="true"/>
    <AMT_x0020_Course_x0020_Deleted xmlns="3af0eaf5-d15a-4ca0-bab1-c2f6d7551579" xsi:nil="true"/>
    <SharedWithUsers xmlns="7277a5a8-cca9-4215-b8f8-7243cc56e321">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35E0B2054282449B5F830C6878EB47" ma:contentTypeVersion="14" ma:contentTypeDescription="Create a new document." ma:contentTypeScope="" ma:versionID="f5076b772321f2fdc098a9ae1e6a7466">
  <xsd:schema xmlns:xsd="http://www.w3.org/2001/XMLSchema" xmlns:xs="http://www.w3.org/2001/XMLSchema" xmlns:p="http://schemas.microsoft.com/office/2006/metadata/properties" xmlns:ns2="3af0eaf5-d15a-4ca0-bab1-c2f6d7551579" xmlns:ns3="7277a5a8-cca9-4215-b8f8-7243cc56e321" xmlns:ns4="c10a7ca2-cc5f-4bd2-a11d-24827c529c8e" targetNamespace="http://schemas.microsoft.com/office/2006/metadata/properties" ma:root="true" ma:fieldsID="51b9d7627efd612f626a99805b6987a5" ns2:_="" ns3:_="" ns4:_="">
    <xsd:import namespace="3af0eaf5-d15a-4ca0-bab1-c2f6d7551579"/>
    <xsd:import namespace="7277a5a8-cca9-4215-b8f8-7243cc56e321"/>
    <xsd:import namespace="c10a7ca2-cc5f-4bd2-a11d-24827c529c8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4:SharedWithDetails" minOccurs="0"/>
                <xsd:element ref="ns2:AMTO_x0020_Back_x0020_up_x0020_Deleted" minOccurs="0"/>
                <xsd:element ref="ns2:AMT_x0020_Course_x0020_Deleted"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f0eaf5-d15a-4ca0-bab1-c2f6d75515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AMTO_x0020_Back_x0020_up_x0020_Deleted" ma:index="15" nillable="true" ma:displayName="AMTO Back up Deleted" ma:format="Dropdown" ma:internalName="AMTO_x0020_Back_x0020_up_x0020_Deleted">
      <xsd:simpleType>
        <xsd:restriction base="dms:Choice">
          <xsd:enumeration value="Yes"/>
          <xsd:enumeration value="No"/>
        </xsd:restriction>
      </xsd:simpleType>
    </xsd:element>
    <xsd:element name="AMT_x0020_Course_x0020_Deleted" ma:index="16" nillable="true" ma:displayName="AMT Course Deleted" ma:format="Dropdown" ma:internalName="AMT_x0020_Course_x0020_Deleted">
      <xsd:simpleType>
        <xsd:restriction base="dms:Choice">
          <xsd:enumeration value="Yes"/>
          <xsd:enumeration value="No"/>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77a5a8-cca9-4215-b8f8-7243cc56e32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10a7ca2-cc5f-4bd2-a11d-24827c529c8e" elementFormDefault="qualified">
    <xsd:import namespace="http://schemas.microsoft.com/office/2006/documentManagement/types"/>
    <xsd:import namespace="http://schemas.microsoft.com/office/infopath/2007/PartnerControls"/>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35049F-6849-4CEA-BB0C-9FFE97A31199}">
  <ds:schemaRefs>
    <ds:schemaRef ds:uri="http://schemas.microsoft.com/sharepoint/v3/contenttype/forms"/>
  </ds:schemaRefs>
</ds:datastoreItem>
</file>

<file path=customXml/itemProps2.xml><?xml version="1.0" encoding="utf-8"?>
<ds:datastoreItem xmlns:ds="http://schemas.openxmlformats.org/officeDocument/2006/customXml" ds:itemID="{58334A0D-858C-4447-B16E-92B9033FFEAC}">
  <ds:schemaRefs>
    <ds:schemaRef ds:uri="http://purl.org/dc/dcmitype/"/>
    <ds:schemaRef ds:uri="http://purl.org/dc/terms/"/>
    <ds:schemaRef ds:uri="7277a5a8-cca9-4215-b8f8-7243cc56e321"/>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c10a7ca2-cc5f-4bd2-a11d-24827c529c8e"/>
    <ds:schemaRef ds:uri="3af0eaf5-d15a-4ca0-bab1-c2f6d7551579"/>
    <ds:schemaRef ds:uri="http://purl.org/dc/elements/1.1/"/>
  </ds:schemaRefs>
</ds:datastoreItem>
</file>

<file path=customXml/itemProps3.xml><?xml version="1.0" encoding="utf-8"?>
<ds:datastoreItem xmlns:ds="http://schemas.openxmlformats.org/officeDocument/2006/customXml" ds:itemID="{F3E69E13-E9CF-4D5D-BBD1-FF91C5FB00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f0eaf5-d15a-4ca0-bab1-c2f6d7551579"/>
    <ds:schemaRef ds:uri="7277a5a8-cca9-4215-b8f8-7243cc56e321"/>
    <ds:schemaRef ds:uri="c10a7ca2-cc5f-4bd2-a11d-24827c529c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57</vt:i4>
      </vt:variant>
      <vt:variant>
        <vt:lpstr>Named Ranges</vt:lpstr>
      </vt:variant>
      <vt:variant>
        <vt:i4>5</vt:i4>
      </vt:variant>
    </vt:vector>
  </HeadingPairs>
  <TitlesOfParts>
    <vt:vector size="62" baseType="lpstr">
      <vt:lpstr>Cover</vt:lpstr>
      <vt:lpstr>AF Q1</vt:lpstr>
      <vt:lpstr>AF Q2</vt:lpstr>
      <vt:lpstr>AF Q3</vt:lpstr>
      <vt:lpstr>AF Q4</vt:lpstr>
      <vt:lpstr>AF Q5</vt:lpstr>
      <vt:lpstr>AF Q6</vt:lpstr>
      <vt:lpstr>AF Q7</vt:lpstr>
      <vt:lpstr>AF Q8</vt:lpstr>
      <vt:lpstr>AF Q9</vt:lpstr>
      <vt:lpstr>IS Q1</vt:lpstr>
      <vt:lpstr>IS Q2</vt:lpstr>
      <vt:lpstr>IS Q3</vt:lpstr>
      <vt:lpstr>IS Q4</vt:lpstr>
      <vt:lpstr>IS Q5</vt:lpstr>
      <vt:lpstr>IS Q6</vt:lpstr>
      <vt:lpstr>IS Q7</vt:lpstr>
      <vt:lpstr>IS Q8</vt:lpstr>
      <vt:lpstr>IS Q9</vt:lpstr>
      <vt:lpstr>IS Q10</vt:lpstr>
      <vt:lpstr>IS Q11</vt:lpstr>
      <vt:lpstr>IS Q12</vt:lpstr>
      <vt:lpstr>IS Q13</vt:lpstr>
      <vt:lpstr>IS Q14</vt:lpstr>
      <vt:lpstr>IS Q15</vt:lpstr>
      <vt:lpstr>IS Q16</vt:lpstr>
      <vt:lpstr>CAL Q1</vt:lpstr>
      <vt:lpstr>CAL Q2</vt:lpstr>
      <vt:lpstr>CAL Q3</vt:lpstr>
      <vt:lpstr>CAL Q4</vt:lpstr>
      <vt:lpstr>CAL Q5</vt:lpstr>
      <vt:lpstr>NCA Q1</vt:lpstr>
      <vt:lpstr>NCA Q2</vt:lpstr>
      <vt:lpstr>NCA Q3</vt:lpstr>
      <vt:lpstr>NCA Q4</vt:lpstr>
      <vt:lpstr>NCA Q5</vt:lpstr>
      <vt:lpstr>NCA Q6</vt:lpstr>
      <vt:lpstr>NCA Q7</vt:lpstr>
      <vt:lpstr>NCA Q8</vt:lpstr>
      <vt:lpstr>NCA Q9</vt:lpstr>
      <vt:lpstr>D&amp;E Q1</vt:lpstr>
      <vt:lpstr>D&amp;E Q2</vt:lpstr>
      <vt:lpstr>D&amp;E Q3</vt:lpstr>
      <vt:lpstr>D&amp;E Q4</vt:lpstr>
      <vt:lpstr>D&amp;E Q5</vt:lpstr>
      <vt:lpstr>D&amp;E Q6</vt:lpstr>
      <vt:lpstr>D&amp;E Q7</vt:lpstr>
      <vt:lpstr>D&amp;E Q8</vt:lpstr>
      <vt:lpstr>D&amp;E Q9</vt:lpstr>
      <vt:lpstr>CFS Q1</vt:lpstr>
      <vt:lpstr>CFS Q2</vt:lpstr>
      <vt:lpstr>CFS Q3</vt:lpstr>
      <vt:lpstr>CFS Q4</vt:lpstr>
      <vt:lpstr>CFS Q5</vt:lpstr>
      <vt:lpstr>CFS Q6</vt:lpstr>
      <vt:lpstr>CFS Q7</vt:lpstr>
      <vt:lpstr>CFS Q8</vt:lpstr>
      <vt:lpstr>circ</vt:lpstr>
      <vt:lpstr>CoName</vt:lpstr>
      <vt:lpstr>CoName1</vt:lpstr>
      <vt:lpstr>CoName2</vt:lpstr>
      <vt:lpstr>Units</vt:lpstr>
    </vt:vector>
  </TitlesOfParts>
  <Company>AMT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FSA drill template.xlsx</dc:title>
  <dc:creator>AMT</dc:creator>
  <dc:description>AMTX-V1/2765</dc:description>
  <cp:lastModifiedBy>Nikhil Jathar</cp:lastModifiedBy>
  <cp:lastPrinted>2017-12-06T12:46:42Z</cp:lastPrinted>
  <dcterms:created xsi:type="dcterms:W3CDTF">2008-02-13T09:24:48Z</dcterms:created>
  <dcterms:modified xsi:type="dcterms:W3CDTF">2023-06-11T18:29:59Z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0x0101002F35E0B2054282449B5F830C6878EB47</vt:lpwstr>
  </property>
  <property fmtid="{D5CDD505-2E9C-101B-9397-08002B2CF9AE}" pid="3" name="Order">
    <vt:r8>2000</vt:r8>
  </property>
</Properties>
</file>